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iana Cardenas\Downloads\"/>
    </mc:Choice>
  </mc:AlternateContent>
  <xr:revisionPtr revIDLastSave="0" documentId="8_{3D9B7B78-3255-41DA-8A1A-C8FC2DEA9C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 contratación 2023 FDLF" sheetId="11" r:id="rId1"/>
  </sheets>
  <definedNames>
    <definedName name="_xlnm._FilterDatabase" localSheetId="0" hidden="1">'Base contratación 2023 FDLF'!$B$1:$AY$396</definedName>
    <definedName name="lnkContractReferenceLink_0" localSheetId="0">'Base contratación 2023 FDLF'!#REF!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62" i="11" l="1"/>
  <c r="X261" i="11"/>
  <c r="O262" i="11"/>
  <c r="O261" i="11"/>
  <c r="O260" i="11"/>
  <c r="O259" i="11"/>
  <c r="O258" i="11"/>
  <c r="X254" i="11"/>
  <c r="O254" i="11"/>
  <c r="X253" i="11"/>
  <c r="O253" i="11"/>
  <c r="O252" i="11"/>
  <c r="X251" i="11"/>
  <c r="O251" i="11"/>
  <c r="X250" i="11"/>
  <c r="O250" i="11"/>
  <c r="X249" i="11"/>
  <c r="O249" i="11"/>
  <c r="O248" i="11"/>
  <c r="X247" i="11"/>
  <c r="O247" i="11"/>
  <c r="X246" i="11"/>
  <c r="O246" i="11"/>
  <c r="X245" i="11"/>
  <c r="O245" i="11"/>
  <c r="X244" i="11"/>
  <c r="O244" i="11"/>
  <c r="X243" i="11"/>
  <c r="O243" i="11"/>
  <c r="X241" i="11"/>
  <c r="O241" i="11"/>
  <c r="X239" i="11"/>
  <c r="O239" i="11"/>
  <c r="O237" i="11"/>
  <c r="X236" i="11"/>
  <c r="O236" i="11"/>
  <c r="X235" i="11"/>
  <c r="O235" i="11"/>
  <c r="X234" i="11"/>
  <c r="O234" i="11"/>
  <c r="X233" i="11"/>
  <c r="O233" i="11"/>
  <c r="X232" i="11"/>
  <c r="O232" i="11"/>
  <c r="X231" i="11"/>
  <c r="X230" i="11"/>
  <c r="X229" i="11"/>
  <c r="O231" i="11"/>
  <c r="O230" i="11"/>
  <c r="O229" i="11"/>
  <c r="X228" i="11"/>
  <c r="O228" i="11"/>
  <c r="X227" i="11"/>
  <c r="O227" i="11"/>
  <c r="X226" i="11"/>
  <c r="O226" i="11"/>
  <c r="X225" i="11"/>
  <c r="X223" i="11"/>
  <c r="O225" i="11"/>
  <c r="O223" i="11"/>
  <c r="X220" i="11"/>
  <c r="O220" i="11"/>
  <c r="X219" i="11"/>
  <c r="O219" i="11"/>
  <c r="X218" i="11"/>
  <c r="O218" i="11"/>
  <c r="X217" i="11"/>
  <c r="O217" i="11"/>
  <c r="X216" i="11" l="1"/>
  <c r="O216" i="11"/>
  <c r="X212" i="11"/>
  <c r="O212" i="11"/>
  <c r="X209" i="11"/>
  <c r="O209" i="11"/>
  <c r="X206" i="11"/>
  <c r="O206" i="11"/>
  <c r="X203" i="11"/>
  <c r="O203" i="11"/>
  <c r="X202" i="11"/>
  <c r="O202" i="11"/>
  <c r="X198" i="11"/>
  <c r="O198" i="11"/>
  <c r="X195" i="11"/>
  <c r="O195" i="11"/>
  <c r="X194" i="11"/>
  <c r="O194" i="11"/>
  <c r="X193" i="11"/>
  <c r="O193" i="11"/>
  <c r="X191" i="11"/>
  <c r="O191" i="11"/>
  <c r="X190" i="11"/>
  <c r="O190" i="11"/>
  <c r="X189" i="11"/>
  <c r="O189" i="11"/>
  <c r="X188" i="11"/>
  <c r="O188" i="11"/>
  <c r="X187" i="11"/>
  <c r="O187" i="11"/>
  <c r="X186" i="11"/>
  <c r="O186" i="11"/>
  <c r="X185" i="11"/>
  <c r="O185" i="11"/>
  <c r="X183" i="11"/>
  <c r="O183" i="11"/>
  <c r="X182" i="11"/>
  <c r="O182" i="11"/>
  <c r="X181" i="11"/>
  <c r="O181" i="11"/>
  <c r="X180" i="11"/>
  <c r="O180" i="11"/>
  <c r="X179" i="11"/>
  <c r="O179" i="11"/>
  <c r="X178" i="11"/>
  <c r="O178" i="11"/>
  <c r="X177" i="11"/>
  <c r="O177" i="11"/>
  <c r="X175" i="11"/>
  <c r="O175" i="11"/>
  <c r="AH175" i="11"/>
  <c r="X174" i="11"/>
  <c r="O174" i="11"/>
  <c r="X173" i="11"/>
  <c r="O173" i="11"/>
  <c r="X172" i="11"/>
  <c r="O172" i="11"/>
  <c r="X171" i="11"/>
  <c r="O171" i="11"/>
  <c r="X170" i="11"/>
  <c r="O170" i="11"/>
  <c r="X169" i="11"/>
  <c r="O169" i="11"/>
  <c r="X168" i="11"/>
  <c r="O168" i="11"/>
  <c r="X167" i="11"/>
  <c r="O167" i="11"/>
  <c r="X166" i="11"/>
  <c r="O166" i="11"/>
  <c r="X165" i="11"/>
  <c r="O165" i="11"/>
  <c r="X164" i="11"/>
  <c r="O164" i="11"/>
  <c r="X163" i="11"/>
  <c r="O163" i="11"/>
  <c r="X161" i="11"/>
  <c r="O161" i="11"/>
  <c r="O160" i="11"/>
  <c r="X159" i="11"/>
  <c r="O159" i="11"/>
  <c r="X158" i="11"/>
  <c r="O158" i="11"/>
  <c r="X157" i="11"/>
  <c r="O157" i="11"/>
  <c r="X154" i="11"/>
  <c r="O154" i="11"/>
  <c r="X153" i="11"/>
  <c r="O153" i="11"/>
  <c r="X151" i="11"/>
  <c r="O151" i="11"/>
  <c r="X150" i="11"/>
  <c r="O150" i="11"/>
  <c r="X149" i="11"/>
  <c r="O149" i="11"/>
  <c r="X148" i="11"/>
  <c r="O148" i="11"/>
  <c r="X146" i="11"/>
  <c r="O146" i="11"/>
  <c r="X145" i="11"/>
  <c r="O145" i="11"/>
  <c r="X144" i="11"/>
  <c r="O144" i="11"/>
  <c r="X143" i="11"/>
  <c r="O143" i="11"/>
  <c r="X142" i="11"/>
  <c r="O142" i="11"/>
  <c r="X141" i="11"/>
  <c r="O141" i="11"/>
  <c r="X140" i="11"/>
  <c r="O140" i="11"/>
  <c r="AH139" i="11"/>
  <c r="X139" i="11"/>
  <c r="O139" i="11"/>
  <c r="AH136" i="11"/>
  <c r="AH135" i="11"/>
  <c r="AH134" i="11"/>
  <c r="AH133" i="11"/>
  <c r="AH132" i="11"/>
  <c r="X136" i="11"/>
  <c r="X135" i="11"/>
  <c r="X134" i="11"/>
  <c r="X133" i="11"/>
  <c r="X132" i="11"/>
  <c r="O136" i="11"/>
  <c r="O135" i="11"/>
  <c r="O134" i="11"/>
  <c r="O133" i="11"/>
  <c r="O132" i="11"/>
  <c r="AH130" i="11"/>
  <c r="AH129" i="11"/>
  <c r="AH128" i="11"/>
  <c r="AH127" i="11"/>
  <c r="AH126" i="11"/>
  <c r="AH125" i="11"/>
  <c r="AH124" i="11"/>
  <c r="AH123" i="11"/>
  <c r="AH122" i="11"/>
  <c r="AH121" i="11"/>
  <c r="X130" i="11"/>
  <c r="X129" i="11"/>
  <c r="X128" i="11"/>
  <c r="X127" i="11"/>
  <c r="X126" i="11"/>
  <c r="X125" i="11"/>
  <c r="X124" i="11"/>
  <c r="X123" i="11"/>
  <c r="X122" i="11"/>
  <c r="X121" i="11"/>
  <c r="O130" i="11"/>
  <c r="O129" i="11"/>
  <c r="O128" i="11"/>
  <c r="O127" i="11"/>
  <c r="O126" i="11"/>
  <c r="O125" i="11"/>
  <c r="O124" i="11"/>
  <c r="O123" i="11"/>
  <c r="O122" i="11"/>
  <c r="O121" i="11"/>
  <c r="AH115" i="11"/>
  <c r="AH114" i="11"/>
  <c r="AH113" i="11"/>
  <c r="AH112" i="11"/>
  <c r="X115" i="11"/>
  <c r="X114" i="11"/>
  <c r="X113" i="11"/>
  <c r="X112" i="11"/>
  <c r="O115" i="11"/>
  <c r="O114" i="11"/>
  <c r="O113" i="11"/>
  <c r="O112" i="11"/>
  <c r="AH106" i="11"/>
  <c r="X106" i="11"/>
  <c r="O106" i="11"/>
  <c r="AH386" i="11" l="1"/>
  <c r="AH396" i="11"/>
  <c r="AH385" i="11"/>
  <c r="AH384" i="11"/>
  <c r="AH383" i="11"/>
  <c r="AH393" i="11" l="1"/>
  <c r="AH392" i="11"/>
  <c r="AH391" i="11"/>
  <c r="AH389" i="11"/>
  <c r="AH388" i="11"/>
  <c r="AH387" i="11"/>
  <c r="AH382" i="11"/>
  <c r="AH381" i="11"/>
  <c r="AH380" i="11"/>
  <c r="AH379" i="11"/>
  <c r="AH378" i="11"/>
  <c r="AH376" i="11"/>
  <c r="AH375" i="11"/>
  <c r="AH374" i="11"/>
  <c r="AH372" i="11"/>
  <c r="AH371" i="11"/>
  <c r="AH370" i="11"/>
  <c r="AH369" i="11"/>
  <c r="AH368" i="11"/>
  <c r="AH367" i="11"/>
  <c r="AH366" i="11"/>
  <c r="AH365" i="11"/>
  <c r="AH364" i="11"/>
  <c r="AH362" i="11"/>
  <c r="AH361" i="11"/>
  <c r="AH360" i="11"/>
  <c r="AH359" i="11"/>
  <c r="AH358" i="11"/>
  <c r="AH357" i="11"/>
  <c r="AH356" i="11"/>
  <c r="AH355" i="11"/>
  <c r="AH354" i="11"/>
  <c r="AH353" i="11"/>
  <c r="AH352" i="11"/>
  <c r="AH351" i="11"/>
  <c r="AH350" i="11"/>
  <c r="AH349" i="11"/>
  <c r="AH348" i="11"/>
  <c r="AH347" i="11"/>
  <c r="AH346" i="11"/>
  <c r="AH345" i="11"/>
  <c r="AH344" i="11"/>
  <c r="AH343" i="11"/>
  <c r="AH342" i="11"/>
  <c r="AH341" i="11"/>
  <c r="AH340" i="11"/>
  <c r="AH339" i="11"/>
  <c r="AH338" i="11"/>
  <c r="AH337" i="11"/>
  <c r="AH336" i="11"/>
  <c r="AH335" i="11"/>
  <c r="AH334" i="11"/>
  <c r="AH333" i="11"/>
  <c r="AH332" i="11"/>
  <c r="AH331" i="11"/>
  <c r="AH330" i="11"/>
  <c r="AH329" i="11"/>
  <c r="AH328" i="11"/>
  <c r="AH327" i="11"/>
  <c r="AH326" i="11"/>
  <c r="AH325" i="11"/>
  <c r="AH324" i="11"/>
  <c r="AH323" i="11"/>
  <c r="AH322" i="11"/>
  <c r="AH320" i="11"/>
  <c r="AH319" i="11"/>
  <c r="AH318" i="11"/>
  <c r="AH317" i="11"/>
  <c r="AH316" i="11"/>
  <c r="AH315" i="11"/>
  <c r="AH314" i="11"/>
  <c r="AH313" i="11"/>
  <c r="AH312" i="11"/>
  <c r="AH311" i="11"/>
  <c r="AH310" i="11"/>
  <c r="AH309" i="11"/>
  <c r="AH308" i="11"/>
  <c r="AH307" i="11"/>
  <c r="AH306" i="11"/>
  <c r="AH305" i="11"/>
  <c r="AH304" i="11"/>
  <c r="AH303" i="11"/>
  <c r="AH302" i="11"/>
  <c r="AH301" i="11"/>
  <c r="AH300" i="11"/>
  <c r="AH299" i="11"/>
  <c r="AH298" i="11"/>
  <c r="AH297" i="11"/>
  <c r="AH296" i="11"/>
  <c r="AH295" i="11"/>
  <c r="AH294" i="11"/>
  <c r="O294" i="11"/>
  <c r="AH293" i="11"/>
  <c r="AH292" i="11"/>
  <c r="AH291" i="11"/>
  <c r="AH290" i="11"/>
  <c r="AH289" i="11"/>
  <c r="AH288" i="11"/>
  <c r="AH287" i="11"/>
  <c r="AH286" i="11"/>
  <c r="X286" i="11"/>
  <c r="AH285" i="11"/>
  <c r="AH283" i="11"/>
  <c r="AH282" i="11"/>
  <c r="AH281" i="11"/>
  <c r="AH280" i="11"/>
  <c r="AH279" i="11"/>
  <c r="AH278" i="11"/>
  <c r="AH277" i="11"/>
  <c r="AH276" i="11"/>
  <c r="AH275" i="11"/>
  <c r="AH274" i="11"/>
  <c r="AH273" i="11"/>
  <c r="AH272" i="11"/>
  <c r="AH271" i="11"/>
  <c r="AH270" i="11"/>
  <c r="AH269" i="11"/>
  <c r="AH268" i="11"/>
  <c r="AH267" i="11"/>
  <c r="AH266" i="11"/>
  <c r="AH265" i="11"/>
  <c r="AH264" i="11"/>
  <c r="AH263" i="11"/>
  <c r="AH262" i="11"/>
  <c r="AH261" i="11"/>
  <c r="AH260" i="11"/>
  <c r="AH259" i="11"/>
  <c r="AH258" i="11"/>
  <c r="AH257" i="11"/>
  <c r="AH256" i="11"/>
  <c r="AH255" i="11"/>
  <c r="AH254" i="11"/>
  <c r="AH253" i="11"/>
  <c r="AH252" i="11"/>
  <c r="AH251" i="11"/>
  <c r="AH250" i="11"/>
  <c r="AH249" i="11"/>
  <c r="AH248" i="11"/>
  <c r="AH247" i="11"/>
  <c r="AH246" i="11"/>
  <c r="AH245" i="11"/>
  <c r="AH244" i="11"/>
  <c r="AH243" i="11"/>
  <c r="AH241" i="11"/>
  <c r="AH240" i="11"/>
  <c r="AH239" i="11"/>
  <c r="AH238" i="11"/>
  <c r="AH237" i="11"/>
  <c r="AH236" i="11"/>
  <c r="AH235" i="11"/>
  <c r="AH234" i="11"/>
  <c r="AH233" i="11"/>
  <c r="AH232" i="11"/>
  <c r="AH231" i="11"/>
  <c r="AH230" i="11"/>
  <c r="AH229" i="11"/>
  <c r="AH228" i="11"/>
  <c r="AH227" i="11"/>
  <c r="AH226" i="11"/>
  <c r="AH225" i="11"/>
  <c r="AH223" i="11"/>
  <c r="AH220" i="11"/>
  <c r="AH219" i="11"/>
  <c r="AH218" i="11"/>
  <c r="AH217" i="11"/>
  <c r="AH216" i="11"/>
  <c r="AH212" i="11"/>
  <c r="AH209" i="11"/>
  <c r="AH206" i="11"/>
  <c r="AH203" i="11"/>
  <c r="AH202" i="11"/>
  <c r="AH198" i="11"/>
  <c r="AH195" i="11"/>
  <c r="AH194" i="11"/>
  <c r="AH193" i="11"/>
  <c r="AH191" i="11"/>
  <c r="AH190" i="11"/>
  <c r="AH189" i="11"/>
  <c r="AH188" i="11"/>
  <c r="AH187" i="11"/>
  <c r="AH186" i="11"/>
  <c r="AH185" i="11"/>
  <c r="AH183" i="11"/>
  <c r="AH182" i="11"/>
  <c r="AH181" i="11"/>
  <c r="AH180" i="11"/>
  <c r="AH179" i="11"/>
  <c r="AH178" i="11"/>
  <c r="AH177" i="11"/>
  <c r="AH174" i="11"/>
  <c r="AH173" i="11"/>
  <c r="AH172" i="11"/>
  <c r="AH171" i="11"/>
  <c r="AH170" i="11"/>
  <c r="AH169" i="11"/>
  <c r="AH168" i="11"/>
  <c r="AH167" i="11"/>
  <c r="AH166" i="11"/>
  <c r="AH165" i="11"/>
  <c r="AH164" i="11"/>
  <c r="AH163" i="11"/>
  <c r="AH162" i="11"/>
  <c r="AH161" i="11"/>
  <c r="AH160" i="11"/>
  <c r="AH159" i="11"/>
  <c r="AH158" i="11"/>
  <c r="AH157" i="11"/>
  <c r="AH154" i="11"/>
  <c r="AH153" i="11"/>
  <c r="AH151" i="11"/>
  <c r="AH150" i="11"/>
  <c r="AH149" i="11"/>
  <c r="AH148" i="11"/>
  <c r="AH146" i="11"/>
  <c r="AH145" i="11"/>
  <c r="AH144" i="11"/>
  <c r="AH143" i="11"/>
  <c r="AH142" i="11"/>
  <c r="AH141" i="11"/>
  <c r="AH140" i="11"/>
  <c r="AH138" i="11"/>
  <c r="AH120" i="11"/>
  <c r="AH119" i="11"/>
  <c r="AH118" i="11"/>
  <c r="AH117" i="11"/>
  <c r="AH116" i="11"/>
  <c r="AH110" i="11"/>
  <c r="X110" i="11"/>
  <c r="O110" i="11"/>
  <c r="AH109" i="11"/>
  <c r="X109" i="11"/>
  <c r="O109" i="11"/>
  <c r="AH108" i="11"/>
  <c r="X108" i="11"/>
  <c r="O108" i="11"/>
  <c r="AH107" i="11"/>
  <c r="X107" i="11"/>
  <c r="O107" i="11"/>
  <c r="AH105" i="11"/>
  <c r="X105" i="11"/>
  <c r="O105" i="11"/>
  <c r="AH104" i="11"/>
  <c r="X104" i="11"/>
  <c r="O104" i="11"/>
  <c r="AH103" i="11"/>
  <c r="X103" i="11"/>
  <c r="O103" i="11"/>
  <c r="AH101" i="11"/>
  <c r="X101" i="11"/>
  <c r="O101" i="11"/>
  <c r="AH100" i="11"/>
  <c r="X100" i="11"/>
  <c r="O100" i="11"/>
  <c r="AH99" i="11"/>
  <c r="X99" i="11"/>
  <c r="O99" i="11"/>
  <c r="AH98" i="11"/>
  <c r="AH97" i="11"/>
  <c r="AH95" i="11"/>
  <c r="X95" i="11"/>
  <c r="O95" i="11"/>
  <c r="AH93" i="11"/>
  <c r="X93" i="11"/>
  <c r="O93" i="11"/>
  <c r="AH92" i="11"/>
  <c r="X92" i="11"/>
  <c r="O92" i="11"/>
  <c r="AH91" i="11"/>
  <c r="X91" i="11"/>
  <c r="O91" i="11"/>
  <c r="AH90" i="11"/>
  <c r="X90" i="11"/>
  <c r="O90" i="11"/>
  <c r="AH89" i="11"/>
  <c r="X89" i="11"/>
  <c r="O89" i="11"/>
  <c r="AH88" i="11"/>
  <c r="X88" i="11"/>
  <c r="O88" i="11"/>
  <c r="AH87" i="11"/>
  <c r="X87" i="11"/>
  <c r="O87" i="11"/>
  <c r="AH86" i="11"/>
  <c r="X86" i="11"/>
  <c r="AH85" i="11"/>
  <c r="X85" i="11"/>
  <c r="O85" i="11"/>
  <c r="AH84" i="11"/>
  <c r="X84" i="11"/>
  <c r="O84" i="11"/>
  <c r="AH83" i="11"/>
  <c r="X83" i="11"/>
  <c r="O83" i="11"/>
  <c r="AH82" i="11"/>
  <c r="X82" i="11"/>
  <c r="O82" i="11"/>
  <c r="AH81" i="11"/>
  <c r="AH77" i="11"/>
  <c r="X77" i="11"/>
  <c r="O77" i="11"/>
  <c r="AH76" i="11"/>
  <c r="X76" i="11"/>
  <c r="O76" i="11"/>
  <c r="AH75" i="11"/>
  <c r="X75" i="11"/>
  <c r="O75" i="11"/>
  <c r="AH74" i="11"/>
  <c r="X74" i="11"/>
  <c r="O74" i="11"/>
  <c r="AH73" i="11"/>
  <c r="X73" i="11"/>
  <c r="O73" i="11"/>
  <c r="AH72" i="11"/>
  <c r="X72" i="11"/>
  <c r="O72" i="11"/>
  <c r="AH71" i="11"/>
  <c r="AH69" i="11"/>
  <c r="X69" i="11"/>
  <c r="O69" i="11"/>
  <c r="AH68" i="11"/>
  <c r="AH67" i="11"/>
  <c r="AH64" i="11"/>
  <c r="AH63" i="11"/>
  <c r="X63" i="11"/>
  <c r="O63" i="11"/>
  <c r="AH62" i="11"/>
  <c r="AH61" i="11"/>
  <c r="AH60" i="11"/>
  <c r="X60" i="11"/>
  <c r="O60" i="11"/>
  <c r="AH59" i="11"/>
  <c r="AH56" i="11"/>
  <c r="X56" i="11"/>
  <c r="O56" i="11"/>
  <c r="AH54" i="11"/>
  <c r="X54" i="11"/>
  <c r="O54" i="11"/>
  <c r="AH53" i="11"/>
  <c r="AH52" i="11"/>
  <c r="AH51" i="11"/>
  <c r="X51" i="11"/>
  <c r="O51" i="11"/>
  <c r="AH50" i="11"/>
  <c r="AH49" i="11"/>
  <c r="AH47" i="11"/>
  <c r="AH46" i="11"/>
  <c r="AH45" i="11"/>
  <c r="AH44" i="11"/>
  <c r="X44" i="11"/>
  <c r="O44" i="11"/>
  <c r="AH43" i="11"/>
  <c r="X43" i="11"/>
  <c r="O43" i="11"/>
  <c r="AH42" i="11"/>
  <c r="X42" i="11"/>
  <c r="O42" i="11"/>
  <c r="AH41" i="11"/>
  <c r="X41" i="11"/>
  <c r="O41" i="11"/>
  <c r="AH40" i="11"/>
  <c r="X40" i="11"/>
  <c r="O40" i="11"/>
  <c r="AH39" i="11"/>
  <c r="AH38" i="11"/>
  <c r="AH34" i="11"/>
  <c r="X34" i="11"/>
  <c r="O34" i="11"/>
  <c r="AH33" i="11"/>
  <c r="X33" i="11"/>
  <c r="O33" i="11"/>
  <c r="AH32" i="11"/>
  <c r="X32" i="11"/>
  <c r="O32" i="11"/>
  <c r="AH31" i="11"/>
  <c r="X31" i="11"/>
  <c r="O31" i="11"/>
  <c r="AH30" i="11"/>
  <c r="X30" i="11"/>
  <c r="O30" i="11"/>
  <c r="AH29" i="11"/>
  <c r="X29" i="11"/>
  <c r="O29" i="11"/>
  <c r="AH27" i="11"/>
  <c r="X27" i="11"/>
  <c r="O27" i="11"/>
  <c r="AH26" i="11"/>
  <c r="X26" i="11"/>
  <c r="O26" i="11"/>
  <c r="AH25" i="11"/>
  <c r="X25" i="11"/>
  <c r="O25" i="11"/>
  <c r="AH24" i="11"/>
  <c r="X24" i="11"/>
  <c r="O24" i="11"/>
  <c r="AH23" i="11"/>
  <c r="X23" i="11"/>
  <c r="O23" i="11"/>
  <c r="AH22" i="11"/>
  <c r="X22" i="11"/>
  <c r="O22" i="11"/>
  <c r="AH21" i="11"/>
  <c r="X21" i="11"/>
  <c r="O21" i="11"/>
  <c r="AH20" i="11"/>
  <c r="X20" i="11"/>
  <c r="O20" i="11"/>
  <c r="AH19" i="11"/>
  <c r="X19" i="11"/>
  <c r="O19" i="11"/>
  <c r="AH17" i="11"/>
  <c r="X17" i="11"/>
  <c r="O17" i="11"/>
  <c r="AH16" i="11"/>
  <c r="X16" i="11"/>
  <c r="O16" i="11"/>
  <c r="AH15" i="11"/>
  <c r="X15" i="11"/>
  <c r="O15" i="11"/>
  <c r="AH14" i="11"/>
  <c r="AH12" i="11"/>
  <c r="O12" i="11"/>
  <c r="AH11" i="11"/>
  <c r="X11" i="11"/>
  <c r="O11" i="11"/>
  <c r="AH10" i="11"/>
  <c r="AH9" i="11"/>
  <c r="AH8" i="11"/>
  <c r="AH7" i="11"/>
  <c r="X7" i="11"/>
  <c r="O7" i="11"/>
  <c r="AH6" i="11"/>
  <c r="AH4" i="11"/>
  <c r="X4" i="11"/>
  <c r="O4" i="11"/>
  <c r="AH2" i="11"/>
  <c r="X2" i="11"/>
  <c r="O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tc={5CF27186-3DEC-4A82-8BCF-CF60274F3429}</author>
  </authors>
  <commentList>
    <comment ref="Q238" authorId="0" shapeId="0" xr:uid="{5CF27186-3DEC-4A82-8BCF-CF60274F342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POLIZA CARGADA EN OPCION 7</t>
        </r>
      </text>
    </comment>
  </commentList>
</comments>
</file>

<file path=xl/sharedStrings.xml><?xml version="1.0" encoding="utf-8"?>
<sst xmlns="http://schemas.openxmlformats.org/spreadsheetml/2006/main" count="8392" uniqueCount="2865">
  <si>
    <t>No</t>
  </si>
  <si>
    <t>No. Contrato</t>
  </si>
  <si>
    <t>Nombre del contratista</t>
  </si>
  <si>
    <t>Número de identificación (NIT  o documento de identidad)</t>
  </si>
  <si>
    <t>FDLF-CCM-343-2023</t>
  </si>
  <si>
    <t>JAC EL REFUGIO</t>
  </si>
  <si>
    <t>FDLF-CCM-344-2023</t>
  </si>
  <si>
    <t>JAC COFRADIA</t>
  </si>
  <si>
    <t>FDLF-CCM-345-2023</t>
  </si>
  <si>
    <t>JAC EL PORTAL</t>
  </si>
  <si>
    <t>FDLF-CCM-346-2023</t>
  </si>
  <si>
    <t>JAC ARABIA</t>
  </si>
  <si>
    <t>FDLF-CCM-347-2023</t>
  </si>
  <si>
    <t xml:space="preserve">JAC RESIDENCIAL FERROCAJA </t>
  </si>
  <si>
    <t>FDLF-CCM-348-2023</t>
  </si>
  <si>
    <t>JAC ATAHUALPA</t>
  </si>
  <si>
    <t>FDLF-CCM-349-2023</t>
  </si>
  <si>
    <t>JAC EL RUBY DE FONTIBON</t>
  </si>
  <si>
    <t>FDLF-CCM-350-2023</t>
  </si>
  <si>
    <t>JAC CENTRO A</t>
  </si>
  <si>
    <t>FDLF-CCM-351-2023</t>
  </si>
  <si>
    <t>JAC THALIA</t>
  </si>
  <si>
    <t>FDLF-CCM-354-2023</t>
  </si>
  <si>
    <t>JAC LA PALESTINA</t>
  </si>
  <si>
    <t>FDLF-CCM-355-2023</t>
  </si>
  <si>
    <t>JAC ALDEA</t>
  </si>
  <si>
    <t>FDLF-CCM-356-2023</t>
  </si>
  <si>
    <t xml:space="preserve">JAC BOHIOS DE HUNZA III SECTOR </t>
  </si>
  <si>
    <t>FDLF-CCM-357-2023</t>
  </si>
  <si>
    <t>JAC URBANIZACION PARQUE OFIR Y EL TREBOL</t>
  </si>
  <si>
    <t>FDLF-CCM-359-2023</t>
  </si>
  <si>
    <t>JAC EL CUCO SECTOR LA ESTANCIA</t>
  </si>
  <si>
    <t>FDLF-CCM-361-2023</t>
  </si>
  <si>
    <t>JAC LAS BRISAS</t>
  </si>
  <si>
    <t>FDLF-CCM-362-2023</t>
  </si>
  <si>
    <t>JAC CAPELLANIA</t>
  </si>
  <si>
    <t>FDLF-CCM-363-2023</t>
  </si>
  <si>
    <t>JAC BOHIOS DE HUNZA I Y II SECTOR</t>
  </si>
  <si>
    <t>FDLF-CCM-365-2023</t>
  </si>
  <si>
    <t>JAC VERACRUZ</t>
  </si>
  <si>
    <t>FDLF-CCM-366-2023</t>
  </si>
  <si>
    <t>JAC RINCON DE MODELIA</t>
  </si>
  <si>
    <t>FDLF-CCM-367-2023</t>
  </si>
  <si>
    <t>JAC VILLACARMENZA</t>
  </si>
  <si>
    <t>FDLF-CCM-368-2023</t>
  </si>
  <si>
    <t>JAC EL TRIANGULO</t>
  </si>
  <si>
    <t>FDLF-CCM-369-2023</t>
  </si>
  <si>
    <t>JAC SAN PABLO II SECTOR</t>
  </si>
  <si>
    <t>FDLF-CCM-370-2023</t>
  </si>
  <si>
    <t>JAC SANTANDER</t>
  </si>
  <si>
    <t>FDLF-CCM-371-2023</t>
  </si>
  <si>
    <t>JAC  ASOJUNTAS</t>
  </si>
  <si>
    <t>FDLF-CCM-372-2023</t>
  </si>
  <si>
    <t>JAC CASANDRA</t>
  </si>
  <si>
    <t>FDLF-CCM-373-2023</t>
  </si>
  <si>
    <t>JAC EL TAPETE</t>
  </si>
  <si>
    <t>EN EJECUCIÓN</t>
  </si>
  <si>
    <t>NEYLA AMADO VELASCO</t>
  </si>
  <si>
    <t>Vigencia</t>
  </si>
  <si>
    <t>Abogado responsable del proceso</t>
  </si>
  <si>
    <t>Modalidad de contratación</t>
  </si>
  <si>
    <t>Tipo de Contrato</t>
  </si>
  <si>
    <t>Link SECOP / TIENDA VIRTUAL</t>
  </si>
  <si>
    <t>Objeto del Contrato (según SECOP)</t>
  </si>
  <si>
    <t>Disponibilidad Presupuestal
(Numero CDP)</t>
  </si>
  <si>
    <t>Fecha CDP</t>
  </si>
  <si>
    <t>Valor CDP</t>
  </si>
  <si>
    <t>Fecha suscripción del contrato 
(DD/MM/AAAA)</t>
  </si>
  <si>
    <t>Número de Póliza</t>
  </si>
  <si>
    <t>Fecha Aprobación Póliza (SECOP)</t>
  </si>
  <si>
    <t>Duración del Contrato
(Dias o Meses)</t>
  </si>
  <si>
    <t>Fecha de inicio del Contrato
(DD/MM/AAAA)</t>
  </si>
  <si>
    <t>Valor Inicial Contrato</t>
  </si>
  <si>
    <t>Registro Presupuestal
(Numero de RP)</t>
  </si>
  <si>
    <t>Fecha de RP</t>
  </si>
  <si>
    <t>Valor RP</t>
  </si>
  <si>
    <t xml:space="preserve">Fecha  Terminación inicial Contrato (DD/MM/AAAA)
</t>
  </si>
  <si>
    <t>MODIFICACIONES CONTRACTUALES
SI / NO</t>
  </si>
  <si>
    <t xml:space="preserve">Fecha cesión </t>
  </si>
  <si>
    <t>Nombre cesionario</t>
  </si>
  <si>
    <t>Número documento de identidad cesionario</t>
  </si>
  <si>
    <t>Fecha Aprobación Póliza
(SECOP)</t>
  </si>
  <si>
    <t xml:space="preserve">Fecha de Modificación Adición </t>
  </si>
  <si>
    <t xml:space="preserve">Valor adicionado
(Cifras en pesos) </t>
  </si>
  <si>
    <t>Valor total del contrato incluida Adición
(Cifra en pesos)</t>
  </si>
  <si>
    <t xml:space="preserve">Fecha de Modificación Prórroga </t>
  </si>
  <si>
    <t>Tiempo Prorrogado (Dias o Meses)</t>
  </si>
  <si>
    <t xml:space="preserve">Fecha de Modificación Suspensión </t>
  </si>
  <si>
    <t>Tiempo Suspendido
(Días o Meses)</t>
  </si>
  <si>
    <t xml:space="preserve">Fecha reactivación </t>
  </si>
  <si>
    <t>Fecha Aprobación Póliza</t>
  </si>
  <si>
    <t>Fecha terminación incluyendo Prórroga - Term. Anticipada - Suspensión</t>
  </si>
  <si>
    <t>Estado del contrato</t>
  </si>
  <si>
    <t xml:space="preserve">Nombre supervisor / Apoyo a la supervisión </t>
  </si>
  <si>
    <t>No. radicado memorando</t>
  </si>
  <si>
    <t>FDLF-CPS-001-2023</t>
  </si>
  <si>
    <t>ALEJANDRA GONZALEZ</t>
  </si>
  <si>
    <t>CONTRATACIÓN DIRECTA</t>
  </si>
  <si>
    <t>PRESTACION DE SERVICIOS</t>
  </si>
  <si>
    <t>FDLF-CD-001-2023 (86244)</t>
  </si>
  <si>
    <t>https://community.secop.gov.co/Public/Tendering/OpportunityDetail/Index?noticeUID=CO1.NTC.3790243&amp;isFromPublicArea=True&amp;isModal=False</t>
  </si>
  <si>
    <t>PRESTARLOSSERVICIOSPROFESIONALESADMINISTRATIVOSALFONDODEDESARROLLOLOCALENELFORTALECIMIENTODEDIFERENTESETAPASDELAGESTIONPUBLICACONTRACTUAL,ENCAMINADASALCUMPLIMIENDODELPLANDEDESARROLLOLOCALVIGENTEYDELASDIFERENTESOBLIGACIONESLEGALESYADMINISTRATIVAS.</t>
  </si>
  <si>
    <t>DIANA CAROLINA CÁRDENAS CRUZ</t>
  </si>
  <si>
    <t>850-1230</t>
  </si>
  <si>
    <t>16/01/2023-10/09/2023</t>
  </si>
  <si>
    <t>14-46-101083387</t>
  </si>
  <si>
    <t>8 MESES</t>
  </si>
  <si>
    <t>629-1271</t>
  </si>
  <si>
    <t>20/01/2023-18/09/2023</t>
  </si>
  <si>
    <t>SI</t>
  </si>
  <si>
    <t>103 DIAS</t>
  </si>
  <si>
    <t>JUNNY CRISTINA LA SERNA BULA</t>
  </si>
  <si>
    <t>FDLF-CPS-002-2023</t>
  </si>
  <si>
    <t>MARTHA MONTOYA</t>
  </si>
  <si>
    <t>FDLF-CD-002-2023 (83876)</t>
  </si>
  <si>
    <t>https://community.secop.gov.co/Public/Tendering/OpportunityDetail/Index?noticeUID=CO1.NTC.3808747&amp;isFromPublicArea=True&amp;isModal=False</t>
  </si>
  <si>
    <t>PRESTARSERVICIOSDEAPOYOENLASACTIVIDADESDESEGURIDADYCONVIVENCIACIUDADANA,DEACUERDOCONLASNECESIDADESYESTRATEGIASEMANADASDESDELAALCALDÍALOCALDEFONTIBÓN.</t>
  </si>
  <si>
    <t>JHAISON LEONARDO CIFUENTES</t>
  </si>
  <si>
    <t>21-46-101057953</t>
  </si>
  <si>
    <t>5 MESES</t>
  </si>
  <si>
    <t>NO</t>
  </si>
  <si>
    <t>N/A</t>
  </si>
  <si>
    <t>TERMINADO</t>
  </si>
  <si>
    <t>LACIDES MIGUEL RAMOS BLANCO</t>
  </si>
  <si>
    <t>FDLF-CPS-003-2023</t>
  </si>
  <si>
    <t>FDLF-CD-003-2023  (83961)</t>
  </si>
  <si>
    <t>https://community.secop.gov.co/Public/Tendering/OpportunityDetail/Index?noticeUID=CO1.NTC.3809120&amp;isFromPublicArea=True&amp;isModal=False</t>
  </si>
  <si>
    <t>PRESTARSERVICIOSPROFESIONALESPARAAPOYARJURÍDICAMENTELOSDIFERENTESPROCESOSQUEREQUIERAADELANTARLAALCALDÍALOCALDEFONTIBÓNDESDELASETAPASPRECONTRACTUALYCONTRACTUAL,DEACUERDOCONELPLANDEADQUISICIONESYALPLANDECONTRATACIÓN.</t>
  </si>
  <si>
    <t>CARMEN LAURA MEJIA PUERTA</t>
  </si>
  <si>
    <t>891-1231</t>
  </si>
  <si>
    <t>17/01/2023-10/09/2023</t>
  </si>
  <si>
    <t>BCH-100024442</t>
  </si>
  <si>
    <t>846-1254</t>
  </si>
  <si>
    <t>23/01/2023-14/09/2023</t>
  </si>
  <si>
    <t>JOHANA ANDREA ROCHA BELTRAN</t>
  </si>
  <si>
    <t>14-46-101091814</t>
  </si>
  <si>
    <t>100 DIAS</t>
  </si>
  <si>
    <t>EN EJECUCIÓN-CEDIDO</t>
  </si>
  <si>
    <t>FDLF-CPS-004-2023</t>
  </si>
  <si>
    <t xml:space="preserve">FERNANDO PINZON </t>
  </si>
  <si>
    <t>FDLF-CD-004-2023  (83929)</t>
  </si>
  <si>
    <t>https://community.secop.gov.co/Public/Tendering/OpportunityDetail/Index?noticeUID=CO1.NTC.3809431&amp;isFromPublicArea=True&amp;isModal=False</t>
  </si>
  <si>
    <t>DIEGO ALEJANDRO CASTRO MUNZA</t>
  </si>
  <si>
    <t>15-44-101274317</t>
  </si>
  <si>
    <t>7 MESES Y 15 DÍAS</t>
  </si>
  <si>
    <t>LUIS MIGUEL SÁNCHEZ RAMOS</t>
  </si>
  <si>
    <t>FDLF-CPS-005-2023</t>
  </si>
  <si>
    <t>FDLF-CD-005-2023  (83876)</t>
  </si>
  <si>
    <t>https://community.secop.gov.co/Public/Tendering/OpportunityDetail/Index?noticeUID=CO1.NTC.3812181&amp;isFromPublicArea=True&amp;isModal=False</t>
  </si>
  <si>
    <t>PRESTARSERVICIOSPROFESIONALESDEAPOYOALAALCALDÍALOCAL,ENTEMASORIENTADOSALASEGURIDADYCONVIVENCIAENFONTIBÓN.</t>
  </si>
  <si>
    <t>JESSICA MILENA MARTINEZ RIVERA</t>
  </si>
  <si>
    <t>21-46-101058326</t>
  </si>
  <si>
    <t>TERMINACION ANTICIPADA</t>
  </si>
  <si>
    <t xml:space="preserve">YICEL MORENO </t>
  </si>
  <si>
    <t>FDLF-CPS-006-2023</t>
  </si>
  <si>
    <t>HERNAN QUIÑONES</t>
  </si>
  <si>
    <t>FDLF-CD-006-2023  (83871)</t>
  </si>
  <si>
    <t>https://community.secop.gov.co/Public/Tendering/OpportunityDetail/Index?noticeUID=CO1.NTC.3818384&amp;isFromPublicArea=True&amp;isModal=False</t>
  </si>
  <si>
    <t>FARID PUELLO 	PEREZ</t>
  </si>
  <si>
    <t>909-1228</t>
  </si>
  <si>
    <t>18/01/2023 05/09/2023</t>
  </si>
  <si>
    <t>21-46-101058359</t>
  </si>
  <si>
    <t xml:space="preserve">7 MESES Y 15 DÍAS </t>
  </si>
  <si>
    <t>864-1245</t>
  </si>
  <si>
    <t>25/01/2023 08/09/2023</t>
  </si>
  <si>
    <t>112 DIAS</t>
  </si>
  <si>
    <t>FDLF-CPS-007-2023</t>
  </si>
  <si>
    <t>FDLF-CD-007-2023  (83876)</t>
  </si>
  <si>
    <t>https://community.secop.gov.co/Public/Tendering/OpportunityDetail/Index?noticeUID=CO1.NTC.3824965&amp;isFromPublicArea=True&amp;isModal=False</t>
  </si>
  <si>
    <t>PAOLA ANDREA QUIROGA ARIAS</t>
  </si>
  <si>
    <t>21-46-101058421</t>
  </si>
  <si>
    <t>FDLF-CPS-008-2023</t>
  </si>
  <si>
    <t>FDLF-CD-008-2023  (83876)</t>
  </si>
  <si>
    <t>https://community.secop.gov.co/Public/Tendering/OpportunityDetail/Index?noticeUID=CO1.NTC.3825436&amp;isFromPublicArea=True&amp;isModal=False</t>
  </si>
  <si>
    <t>PRESTARSERVICIOSDEAPOYOTÉCNICOADMINISTRATIVOYOPERATIVODELDESPACHODELAALCALDÍALOCALDEFONTIBÓN.</t>
  </si>
  <si>
    <t>JOHAN MANUEL RAMOS RODRIGUEZ</t>
  </si>
  <si>
    <t>21-46-101058567</t>
  </si>
  <si>
    <t>FDLF-CPS-009-2023</t>
  </si>
  <si>
    <t>FDLF-CD-009-2023  (83961)</t>
  </si>
  <si>
    <t>https://community.secop.gov.co/Public/Tendering/OpportunityDetail/Index?noticeUID=CO1.NTC.3826459&amp;isFromPublicArea=True&amp;isModal=False</t>
  </si>
  <si>
    <t>PRESTARSERVICIOSESPECIALIZADOSPARAAPOYARLAFORMULACIÓNYVERIFICACIÓNDEPROCESOSCONTRACTUALESCONRECURSOSDEFUNCIONAMIENTOEINVERSIÓNDELFONDODEDESARROLLOLOCALDEFONTIBÓN</t>
  </si>
  <si>
    <t xml:space="preserve">ANGELICA MARIA SALAZAR BAYONA </t>
  </si>
  <si>
    <t>11-46-101031551</t>
  </si>
  <si>
    <t>11 MESES</t>
  </si>
  <si>
    <t>SEBASTIAN ALEXANDER RUIZ FIERRO</t>
  </si>
  <si>
    <t>FDLF-CPS-010-2023</t>
  </si>
  <si>
    <t>FDLF-CD-010-2023  (83956)</t>
  </si>
  <si>
    <t>https://community.secop.gov.co/Public/Tendering/OpportunityDetail/Index?noticeUID=CO1.NTC.3826176&amp;isFromPublicArea=True&amp;isModal=False</t>
  </si>
  <si>
    <t>ERNESTO CAMILO DIAZ NAVAEZ</t>
  </si>
  <si>
    <t>894-1284</t>
  </si>
  <si>
    <t>17/01/2023-18/09/2023</t>
  </si>
  <si>
    <t>39-44101146188</t>
  </si>
  <si>
    <t>848-1297</t>
  </si>
  <si>
    <t>24/01/2023-22/09/2023</t>
  </si>
  <si>
    <t>98 DIAS</t>
  </si>
  <si>
    <t>ALCALDE</t>
  </si>
  <si>
    <t>FDLF-CPS-011-2023</t>
  </si>
  <si>
    <t>FDLF-CD-011-2023  (83961)</t>
  </si>
  <si>
    <t>https://community.secop.gov.co/Public/Tendering/OpportunityDetail/Index?noticeUID=CO1.NTC.3826059&amp;isFromPublicArea=True&amp;isModal=False</t>
  </si>
  <si>
    <t>DANIELA PARADA RODRIGUEZ</t>
  </si>
  <si>
    <t>891-1255</t>
  </si>
  <si>
    <t>17/01/2023-13/09/2023</t>
  </si>
  <si>
    <t>25-46-101024987</t>
  </si>
  <si>
    <t>866-1265</t>
  </si>
  <si>
    <t>25/01/2023-15/09/2023</t>
  </si>
  <si>
    <t>97 DIAS</t>
  </si>
  <si>
    <t>FDLF-CPS-012-2023</t>
  </si>
  <si>
    <t>FDLF-CD-012-2023  (83979)</t>
  </si>
  <si>
    <t>https://community.secop.gov.co/Public/Tendering/OpportunityDetail/Index?noticeUID=CO1.NTC.3824969&amp;isFromPublicArea=True&amp;isModal=False</t>
  </si>
  <si>
    <t>OLGA PATRICIA CORTES AMAYA</t>
  </si>
  <si>
    <t>14-46-101083995</t>
  </si>
  <si>
    <t>FDLF-CPS-013-2022</t>
  </si>
  <si>
    <t>FDLF-CD-013-2023  (83876)</t>
  </si>
  <si>
    <t>https://community.secop.gov.co/Public/Tendering/OpportunityDetail/Index?noticeUID=CO1.NTC.3831608&amp;isFromPublicArea=True&amp;isModal=False</t>
  </si>
  <si>
    <t>PRESTARSERVICIOSPROFESIONALESPARAAPOYARLOSPROCESOSRELACIONADOSCONLOSCONTRATOSDEINVERSIÓNYFUNCIONAMIENTO,VERIFICACIÓNDELPROCEDIMIENTODEPAGOSYREVISIÓNDECARPETASYDOCUMENTOSDEPAGOALLEGADASALDESPACHOPARARESPECTIVAFIRMADELALCALDELOCAL.</t>
  </si>
  <si>
    <t>CARLOS JULIO GORDILLO SANCHEZ</t>
  </si>
  <si>
    <t>21-46-101058906</t>
  </si>
  <si>
    <t>FDLF-CPS-014-2023</t>
  </si>
  <si>
    <t>FDLF-CD-014-2023  (83971)</t>
  </si>
  <si>
    <t>https://community.secop.gov.co/Public/Tendering/OpportunityDetail/Index?noticeUID=CO1.NTC.3831370&amp;isFromPublicArea=True&amp;isModal=False</t>
  </si>
  <si>
    <t>PRESTARSERVICIOSPROFESIONALESPARAAPOYARLAFORMULACIÓN,SEGUIMIENTOYSUPERVISIÓNDELOSPROCESOSCONTRACTUALESDERIVADOSDELPROYECTODEINVERSIÓNNO.1766,ENELMARCODELASNECESIDADESDELAALCALDÍALOCALDEFONTIBÓN</t>
  </si>
  <si>
    <t>CARLOS JAVIER CASTAÑO ALVARADO</t>
  </si>
  <si>
    <t>886-1227</t>
  </si>
  <si>
    <t>17/01/2023 05/09/2023</t>
  </si>
  <si>
    <t>14-46-101084200</t>
  </si>
  <si>
    <t>865-1244</t>
  </si>
  <si>
    <t>ERNESTO CAMILO DIAZ NARVAEZ</t>
  </si>
  <si>
    <t>FDLF-CPS-015-2023</t>
  </si>
  <si>
    <t>FDLF-CD-015-2023  (83867)</t>
  </si>
  <si>
    <t>https://community.secop.gov.co/Public/Tendering/OpportunityDetail/Index?noticeUID=CO1.NTC.3843041&amp;isFromPublicArea=True&amp;isModal=False</t>
  </si>
  <si>
    <t>PRESTARSERVICIOSDEAPOYOADMINISTRATIVOYASISTENCIALMENTEALAGESTIÓNPOLICIVADELAALCALDÍALOCAL</t>
  </si>
  <si>
    <t>YIRE PAOLA GARCIA GARCHARNA</t>
  </si>
  <si>
    <t>910-1229</t>
  </si>
  <si>
    <t>18/01/2023 08/09/2023</t>
  </si>
  <si>
    <t>14-46-101084359</t>
  </si>
  <si>
    <t>869-1247</t>
  </si>
  <si>
    <t>26/01/2023 08/09/2023</t>
  </si>
  <si>
    <t>108 DIAS</t>
  </si>
  <si>
    <t>ALEXANDER HERNÁNDEZ CÁRDENAS</t>
  </si>
  <si>
    <t>FDLF-CPS-016-2023</t>
  </si>
  <si>
    <t>FDLF-CD-016-2023  (83931)</t>
  </si>
  <si>
    <t>https://community.secop.gov.co/Public/Tendering/OpportunityDetail/Index?noticeUID=CO1.NTC.3843654&amp;isFromPublicArea=True&amp;isModal=False</t>
  </si>
  <si>
    <t>PRESTARSUSSERVICIOSPROFESIONALESPARAREALIZARACTIVIDADESCONCERNIENTESALAPREPRODUCCIÓN,PRODUCCIÓNYPOSTPRODUCCIÓNOPERATIVADELASACTIVIDADESYRELACIONADASCONELEMENTOSYBIENESQUEHACENPARTEDELINVENTARIODELFONDODEDESARROLLOLOCAL,ENELMARCODELPLANDEDESARROLLO2021-2024DELALOCALIDADDEFONTIBÓN.</t>
  </si>
  <si>
    <t>CLAUDIA TERESA MORENO BOBADILLA</t>
  </si>
  <si>
    <t>897-1224</t>
  </si>
  <si>
    <t>21-46-101058711</t>
  </si>
  <si>
    <t>867-1246</t>
  </si>
  <si>
    <t>111 DIAS</t>
  </si>
  <si>
    <t>FDLF-CPS-017-2023</t>
  </si>
  <si>
    <t>FDLF-CD-017-2023  (83978)</t>
  </si>
  <si>
    <t>https://community.secop.gov.co/Public/Tendering/OpportunityDetail/Index?noticeUID=CO1.NTC.3843029&amp;isFromPublicArea=True&amp;isModal=False</t>
  </si>
  <si>
    <t>APOYARTÉCNICAMENTELASDISTINTASETAPASDELOSPROCESOSDECOMPETENCIADELASINSPECCIONESDEPOLICÍADELALOCALIDAD,SEGÚNREPARTO.</t>
  </si>
  <si>
    <t>ELMAN CIFUENTES CASTAÑEDA</t>
  </si>
  <si>
    <t>14-46-101084532</t>
  </si>
  <si>
    <t>FDLF-CPS-018-2023</t>
  </si>
  <si>
    <t>FDLF-CD-018-2023  (83933)</t>
  </si>
  <si>
    <t>https://community.secop.gov.co/Public/Tendering/OpportunityDetail/Index?noticeUID=CO1.NTC.3843814&amp;isFromPublicArea=True&amp;isModal=False</t>
  </si>
  <si>
    <t>APOYARENLASTAREASOPERATIVASDECARÁCTERARCHIVÍSTICODESARROLLADASENLAALCALDÍALOCALPARAGARANTIZARLAAPLICACIÓNCORRECTADELOSPROCEDIMIENTOSTÉCNICOS</t>
  </si>
  <si>
    <t>MARIO CASTILLO JIMENEZ</t>
  </si>
  <si>
    <t>895-1225</t>
  </si>
  <si>
    <t>33-46-101047276</t>
  </si>
  <si>
    <t>870-1248</t>
  </si>
  <si>
    <t>26/01/2023 11/09/2023</t>
  </si>
  <si>
    <t>FDLF-CPS-019-2023</t>
  </si>
  <si>
    <t>FDLF-CD-019-2023 (86254 )</t>
  </si>
  <si>
    <t>https://community.secop.gov.co/Public/Tendering/OpportunityDetail/Index?noticeUID=CO1.NTC.3843796&amp;isFromPublicArea=True&amp;isModal=False</t>
  </si>
  <si>
    <t>LINA VANESA CUEVAS LÓPEZ</t>
  </si>
  <si>
    <t>861-1254</t>
  </si>
  <si>
    <t>17/01/2023 13/09/2023</t>
  </si>
  <si>
    <t>875-1256</t>
  </si>
  <si>
    <t>27/01/2023 14/09/2023</t>
  </si>
  <si>
    <t>DIEGO ANDRÉS OVIEDO SÁNCHEZ</t>
  </si>
  <si>
    <t>FDLF-CPS-020-2023</t>
  </si>
  <si>
    <t>FDLF-CD-020-2023 (86254 )</t>
  </si>
  <si>
    <t>https://community.secop.gov.co/Public/Tendering/OpportunityDetail/Index?noticeUID=CO1.NTC.3844742&amp;isFromPublicArea=True&amp;isModal=False</t>
  </si>
  <si>
    <t>IBONN NERE ROA SÁNCHEZ</t>
  </si>
  <si>
    <t>861-1237</t>
  </si>
  <si>
    <t>17/01/2023-11/09/2023</t>
  </si>
  <si>
    <t>14-46-101085285</t>
  </si>
  <si>
    <t>896-1263</t>
  </si>
  <si>
    <t>31/01/2023-15/09/2023</t>
  </si>
  <si>
    <t>106 DIAS</t>
  </si>
  <si>
    <t>FDLF-CPS-021-2023</t>
  </si>
  <si>
    <t>FDLF-CD-021-2023  (83933)</t>
  </si>
  <si>
    <t>https://community.secop.gov.co/Public/Tendering/OpportunityDetail/Index?noticeUID=CO1.NTC.3845733&amp;isFromPublicArea=True&amp;isModal=False</t>
  </si>
  <si>
    <t>PRESTARSERVICIOSPROFESIONALESPARAAPOYARYDARSOPORTEALADMINISTRADORDEREDYUSUARIOFINALENLASTECNOLOGÍASDEINFORMACIÓNDELAALCALDÍALOCAL.</t>
  </si>
  <si>
    <t>SANDRA PATRICIA ZARAMA MUÑOZ</t>
  </si>
  <si>
    <t>895-1253</t>
  </si>
  <si>
    <t>17-46-101023897</t>
  </si>
  <si>
    <t>871-1259</t>
  </si>
  <si>
    <t>26/01/2023 14/09/2023</t>
  </si>
  <si>
    <t>FDLF-CPS-022-2023</t>
  </si>
  <si>
    <t>FDLF-CD-022-2023  (83968)</t>
  </si>
  <si>
    <t>https://community.secop.gov.co/Public/Tendering/OpportunityDetail/Index?noticeUID=CO1.NTC.3846656&amp;isFromPublicArea=True&amp;isModal=False</t>
  </si>
  <si>
    <t>ANGELICA DEL MAR ANGULO VALENCIA</t>
  </si>
  <si>
    <t>888-1226</t>
  </si>
  <si>
    <t>14-46-101084515</t>
  </si>
  <si>
    <t>874-1249</t>
  </si>
  <si>
    <t>YANETH ALICIA MARTÍNEZ DONCEL</t>
  </si>
  <si>
    <t>14-46-101090265</t>
  </si>
  <si>
    <t>FDLF-CPS-023-2023</t>
  </si>
  <si>
    <t>FDLF-CD-023-2023  (83805)</t>
  </si>
  <si>
    <t>https://community.secop.gov.co/Public/Tendering/OpportunityDetail/Index?noticeUID=CO1.NTC.3855016&amp;isFromPublicArea=True&amp;isModal=False</t>
  </si>
  <si>
    <t>YURY TATIANA CABALLERO VILLALOBOS</t>
  </si>
  <si>
    <t>916-146</t>
  </si>
  <si>
    <t>18/01/2023 13/09/2023</t>
  </si>
  <si>
    <t>14-46-101084720</t>
  </si>
  <si>
    <t>879-1257</t>
  </si>
  <si>
    <t>29/01/2023 14/09/2023</t>
  </si>
  <si>
    <t>YULIETH PAOLA GOMEZ LEMA</t>
  </si>
  <si>
    <t>FDLF-CPS-024-2023</t>
  </si>
  <si>
    <t>FDLF-CD-024-2023  (83904)</t>
  </si>
  <si>
    <t>https://community.secop.gov.co/Public/Tendering/OpportunityDetail/Index?noticeUID=CO1.NTC.3856604&amp;isFromPublicArea=True&amp;isModal=False</t>
  </si>
  <si>
    <t>MÓNICA PAOLA GÓMEZ MORENO</t>
  </si>
  <si>
    <t>901-1252</t>
  </si>
  <si>
    <t>14-46-101084734</t>
  </si>
  <si>
    <t>878-1255</t>
  </si>
  <si>
    <t>FDLF-CPS-025-2023</t>
  </si>
  <si>
    <t>FDLF-CD-025-2023  (83802)</t>
  </si>
  <si>
    <t>https://community.secop.gov.co/Public/Tendering/OpportunityDetail/Index?noticeUID=CO1.NTC.3855314&amp;isFromPublicArea=True&amp;isModal=False</t>
  </si>
  <si>
    <t>JORGE ISAAC GARAVITO JIMENEZ</t>
  </si>
  <si>
    <t>918-1251</t>
  </si>
  <si>
    <t>11-46-101031825</t>
  </si>
  <si>
    <t>876-1258</t>
  </si>
  <si>
    <t>ANDREA ROCHA BELTRAN</t>
  </si>
  <si>
    <t>FDLF-CPS-026-2023</t>
  </si>
  <si>
    <t>FDLF-CD-026-2023  (83751)</t>
  </si>
  <si>
    <t>https://community.secop.gov.co/Public/Tendering/OpportunityDetail/Index?noticeUID=CO1.NTC.3857440&amp;isFromPublicArea=True&amp;isModal=False</t>
  </si>
  <si>
    <t>MARIA CAMILA GARCIA RAMOS</t>
  </si>
  <si>
    <t>924-1250</t>
  </si>
  <si>
    <t>18/01/2023-13/09/2023</t>
  </si>
  <si>
    <t>NB-100243990</t>
  </si>
  <si>
    <t>892-1261</t>
  </si>
  <si>
    <t>30/01/2023-15/09/2023</t>
  </si>
  <si>
    <t>BLANCA JANETH VERGARA GARNICA</t>
  </si>
  <si>
    <t>14-46-101097110</t>
  </si>
  <si>
    <t>107 DIAS</t>
  </si>
  <si>
    <t>ANDREA DEL ROSARIO RUIZ GUERRERO</t>
  </si>
  <si>
    <t>FDLF-CPS-027-2023</t>
  </si>
  <si>
    <t>FDLF-CD-027-2023  (83881)</t>
  </si>
  <si>
    <t>https://community.secop.gov.co/Public/Tendering/OpportunityDetail/Index?noticeUID=CO1.NTC.3859386&amp;isFromPublicArea=True&amp;isModal=False</t>
  </si>
  <si>
    <t>CLAUDIA PATRICIA LORENZO MEJIA</t>
  </si>
  <si>
    <t xml:space="preserve">	905</t>
  </si>
  <si>
    <t>14-44-101172964</t>
  </si>
  <si>
    <t>4 MESES</t>
  </si>
  <si>
    <t>JULIANA BALLESTEROS CASILIMAS</t>
  </si>
  <si>
    <t>ALEJANDRO ALARCON</t>
  </si>
  <si>
    <t>FDLF-CPS-028-2023</t>
  </si>
  <si>
    <t>FDLF-CD-028-2023  (83926)</t>
  </si>
  <si>
    <t>https://community.secop.gov.co/Public/Tendering/OpportunityDetail/Index?noticeUID=CO1.NTC.3856661&amp;isFromPublicArea=True&amp;isModal=False</t>
  </si>
  <si>
    <t>WILFORD LIBERMAN RODRIGUEZ FONSECA</t>
  </si>
  <si>
    <t>930-1249</t>
  </si>
  <si>
    <t>23/01/2023 13/09/2023</t>
  </si>
  <si>
    <t>15-44-10274320</t>
  </si>
  <si>
    <t>886-1253</t>
  </si>
  <si>
    <t>30/01/2023 14/09/2023</t>
  </si>
  <si>
    <t>15-44-101274320</t>
  </si>
  <si>
    <t>FDLF-CPS-029-2023</t>
  </si>
  <si>
    <t>FDLF-CD-029-2023  (83926)</t>
  </si>
  <si>
    <t>https://community.secop.gov.co/Public/Tendering/OpportunityDetail/Index?noticeUID=CO1.NTC.3856566&amp;isFromPublicArea=True&amp;isModal=False</t>
  </si>
  <si>
    <t>RICAURTE TARQUINO BECERRA</t>
  </si>
  <si>
    <t>930-1248</t>
  </si>
  <si>
    <t>15-44-101274316</t>
  </si>
  <si>
    <t>885-1251</t>
  </si>
  <si>
    <t>FDLF-CPS-030-2023</t>
  </si>
  <si>
    <t>FDLF-CD-030-2023  (86226)</t>
  </si>
  <si>
    <t>https://community.secop.gov.co/Public/Tendering/OpportunityDetail/Index?noticeUID=CO1.NTC.3857064&amp;isFromPublicArea=True&amp;isModal=False</t>
  </si>
  <si>
    <t>VICTORIA GRILLO VARGAS</t>
  </si>
  <si>
    <t>934-1243</t>
  </si>
  <si>
    <t>23/01/2023-13/09/2023</t>
  </si>
  <si>
    <t>340 47 994000042251</t>
  </si>
  <si>
    <t>884-1260</t>
  </si>
  <si>
    <t>29/01/2023-15/09/2023</t>
  </si>
  <si>
    <t>FDLF-CPS-031-2023</t>
  </si>
  <si>
    <t>FDLF-CD-031-2023  (83757)</t>
  </si>
  <si>
    <t>https://community.secop.gov.co/Public/Tendering/OpportunityDetail/Index?noticeUID=CO1.NTC.3861649&amp;isFromPublicArea=True&amp;isModal=False</t>
  </si>
  <si>
    <t>LINA MARCELA ROMERO RODRIGUEZ</t>
  </si>
  <si>
    <t>922-1270</t>
  </si>
  <si>
    <t>18/01/2023-15/09/2023</t>
  </si>
  <si>
    <t>14-46-101084927</t>
  </si>
  <si>
    <t>907-1267</t>
  </si>
  <si>
    <t>1/02/2023-15/09/2023</t>
  </si>
  <si>
    <t>FDLF-CPS-032-2023</t>
  </si>
  <si>
    <t>FDLF-CD-032-2023  (83913)</t>
  </si>
  <si>
    <t>https://community.secop.gov.co/Public/Tendering/OpportunityDetail/Index?noticeUID=CO1.NTC.3857386&amp;isFromPublicArea=True&amp;isModal=False</t>
  </si>
  <si>
    <t>OLGA PATRICIA GUTIERREZ BERNAL</t>
  </si>
  <si>
    <t>900-1233</t>
  </si>
  <si>
    <t>18/01/2023 10/09/2023</t>
  </si>
  <si>
    <t>15-46-101030612</t>
  </si>
  <si>
    <t>877-1252</t>
  </si>
  <si>
    <t>FDLF-CPS-033-2023</t>
  </si>
  <si>
    <t>FDLF-CD-033-2023 (83871)</t>
  </si>
  <si>
    <t>https://community.secop.gov.co/Public/Tendering/OpportunityDetail/Index?noticeUID=CO1.NTC.3880983&amp;isFromPublicArea=True&amp;isModal=False</t>
  </si>
  <si>
    <t>PRESTARSERVICIOSPROFESIONALESDEAPOYOALAALCALDÍALOCAL,ENTEMASORIENTADOSALASEGURIDADYCONVIVENCIAENFONTIBON</t>
  </si>
  <si>
    <t>JULIETH JOHANA GARCIA LOPEZ</t>
  </si>
  <si>
    <t>909-1238</t>
  </si>
  <si>
    <t>18/01/2023-11/09/2023</t>
  </si>
  <si>
    <t>21-46-101059622</t>
  </si>
  <si>
    <t>971-1262</t>
  </si>
  <si>
    <t>17/02/2023-15/09/2023</t>
  </si>
  <si>
    <t>FDLF-CPS-034-2023</t>
  </si>
  <si>
    <t>FDLF-CD-034-2023  (86164)</t>
  </si>
  <si>
    <t>https://community.secop.gov.co/Public/Tendering/OpportunityDetail/Index?noticeUID=CO1.NTC.3866028&amp;isFromPublicArea=True&amp;isModal=False</t>
  </si>
  <si>
    <t>APOYARTÉCNICAMENTEALOSRESPONSABLESEINTEGRANTESDELOSPROCESOSENLAIMPLEMENTACIÓNDEHERRAMIENTASDEGESTIÓN,SIGUIENDOLOSLINEAMIENTOSMETODOLÓGICOSESTABLECIDOSPORLAOFICINAASESORADEPLANEACIÓNDELASECRETARÍADISTRITALDEGOBIERNO</t>
  </si>
  <si>
    <t xml:space="preserve">MARCO ANTONIO LOPEZ ESPITIA </t>
  </si>
  <si>
    <t>FDLF-CPS-035-2023</t>
  </si>
  <si>
    <t>FDLF-CD-035-2023  (86262)</t>
  </si>
  <si>
    <t>https://community.secop.gov.co/Public/Tendering/OpportunityDetail/Index?noticeUID=CO1.NTC.3866033&amp;isFromPublicArea=True&amp;isModal=False</t>
  </si>
  <si>
    <t>PRESTARSERVICIOSDEAPOYOOPERATIVOPARALASACTIVIDADESRELACIONADASCONELMANTENIMIENTOYREPARACIONESMENORESDELASEDEYDEAPOYOOPERATIVOALOSPROYECTOSDELAALCALDIALOCALDEFONTIBON</t>
  </si>
  <si>
    <t>WILLIAM MORENO RINCON</t>
  </si>
  <si>
    <t>14-46-101085059</t>
  </si>
  <si>
    <t xml:space="preserve">4 MESES </t>
  </si>
  <si>
    <t>FDLF-CPS-036-2023</t>
  </si>
  <si>
    <t>FDLF-CD-036-2023  (86262)</t>
  </si>
  <si>
    <t>https://community.secop.gov.co/Public/Tendering/OpportunityDetail/Index?noticeUID=CO1.NTC.3865873&amp;isFromPublicArea=True&amp;isModal=False</t>
  </si>
  <si>
    <t>GIOVANNI ENRIQUE CORTES GARZON</t>
  </si>
  <si>
    <t>14-44-101173031-0</t>
  </si>
  <si>
    <t>KEVYN ALEJANDRO GONZÁLEZ RAMÍREZ</t>
  </si>
  <si>
    <t>FDLF-CPS-037-2023</t>
  </si>
  <si>
    <t>FDLF-CD-037-2023  (86996)</t>
  </si>
  <si>
    <t>https://community.secop.gov.co/Public/Tendering/OpportunityDetail/Index?noticeUID=CO1.NTC.3867558&amp;isFromPublicArea=True&amp;isModal=False</t>
  </si>
  <si>
    <t>PRESTARSERVICIOSESPECIALIZADOSENLOSASUNTOSRELACIONADOSCONSEGURIDADCIUDADANA,CONVIVENCIAYPREVENCIÓNDECONFLICTIVIDADES,VIOLENCIASYDELITOSENLALOCALIDADDEFONTIBÓN</t>
  </si>
  <si>
    <t>21-46-101059325</t>
  </si>
  <si>
    <t xml:space="preserve">11 MESES </t>
  </si>
  <si>
    <t>FDLF-CPS-038-2023</t>
  </si>
  <si>
    <t>FDLF-CD-038-2023  (86989)</t>
  </si>
  <si>
    <t>https://community.secop.gov.co/Public/Tendering/OpportunityDetail/Index?noticeUID=CO1.NTC.3867530&amp;isFromPublicArea=True&amp;isModal=False</t>
  </si>
  <si>
    <t>PRESTARSERVICIOSTÉCNICOSPARADESARROLLARACTIVIDADESRELACIONADASCONLAGESTIÓNADMINISTRATIVAYOPERATIVADEACUERDOCONLASDIRECTRICESYRESPONSABILIDADESTRAZADASPORELFONDODEDESARROLLOLOCALDEFONTIBÓN</t>
  </si>
  <si>
    <t>JOSE FRANCISCO SOLORZANO GOMEZ</t>
  </si>
  <si>
    <t>14-46-101085053</t>
  </si>
  <si>
    <t>MIGUEL ANGEL GONZALEZ GARCIA</t>
  </si>
  <si>
    <t>FDLF-CPS-039-2023</t>
  </si>
  <si>
    <t>FDLF-CD-039-2023  (83915)</t>
  </si>
  <si>
    <t>https://community.secop.gov.co/Public/Tendering/OpportunityDetail/Index?noticeUID=CO1.NTC.3881319&amp;isFromPublicArea=True&amp;isModal=False</t>
  </si>
  <si>
    <t>APOYARJURÍDICAMENTELAEJECUCIÓNDELASACCIONESREQUERIDASPARALADEPURACIÓNDELASACTUACIONESADMINISTRATIVASQUECURSANENLAALCALDÍALOCAL.</t>
  </si>
  <si>
    <t>MARIA ALEJANDRA QUINTERO MARTINEZ</t>
  </si>
  <si>
    <t>966-1256</t>
  </si>
  <si>
    <t>26/01/2023-13/09/2023</t>
  </si>
  <si>
    <t>14-44-101173193</t>
  </si>
  <si>
    <t>894-1270</t>
  </si>
  <si>
    <t>31/01/2023-18/09/2023</t>
  </si>
  <si>
    <t>102 DIAS</t>
  </si>
  <si>
    <t>FDLF-CPS-040-2023</t>
  </si>
  <si>
    <t>FDLF-CD-040-2023  (83915)</t>
  </si>
  <si>
    <t>https://community.secop.gov.co/Public/Tendering/OpportunityDetail/Index?noticeUID=CO1.NTC.3881316&amp;isFromPublicArea=True&amp;isModal=False</t>
  </si>
  <si>
    <t>EVELYN LORENA GOMEZ ORTIZ</t>
  </si>
  <si>
    <t>966-1271</t>
  </si>
  <si>
    <t>26/01/2023-15/09/2023</t>
  </si>
  <si>
    <t>21-46-101059802</t>
  </si>
  <si>
    <t>895-1279</t>
  </si>
  <si>
    <t>31/01/2023-19/09/2023</t>
  </si>
  <si>
    <t>FDLF-CPS-041-2023</t>
  </si>
  <si>
    <t>FDLF-CD-041-2023  (83915)</t>
  </si>
  <si>
    <t>https://community.secop.gov.co/Public/Tendering/OpportunityDetail/Index?noticeUID=CO1.NTC.3881507&amp;isFromPublicArea=True&amp;isModal=False</t>
  </si>
  <si>
    <t>JENNY MARCELA OTALORA GOMEZ</t>
  </si>
  <si>
    <t>966-1272</t>
  </si>
  <si>
    <t>14-46-101086364</t>
  </si>
  <si>
    <t>924-1274</t>
  </si>
  <si>
    <t>3/02/2023-19/09/2023</t>
  </si>
  <si>
    <t>FDLF-CPS-042-2023</t>
  </si>
  <si>
    <t>FDLF-CD-042-2023  (86034)</t>
  </si>
  <si>
    <t>https://community.secop.gov.co/Public/Tendering/OpportunityDetail/Index?noticeUID=CO1.NTC.3882421&amp;isFromPublicArea=True&amp;isModal=False</t>
  </si>
  <si>
    <t>PRESTARSERVICIOSPROFESIONALESPARAELDESARROLLOYMONITOREODEACCIONESDESALUDPÚBLICAENLALOCALIDADDEFONTIBÓNCONÉNFASISENSUSTANCIAS</t>
  </si>
  <si>
    <t>CINDY BRIGITTE VALERO PÉREZ</t>
  </si>
  <si>
    <t>876-1245</t>
  </si>
  <si>
    <t>380-47-994000131427</t>
  </si>
  <si>
    <t>908-1269</t>
  </si>
  <si>
    <t>ANA ISABEL PALACIO RESTREPO</t>
  </si>
  <si>
    <t>FDLF-CPS-043-2023</t>
  </si>
  <si>
    <t>FDLF-CD-043-2023  (86034)</t>
  </si>
  <si>
    <t>https://community.secop.gov.co/Public/Tendering/OpportunityDetail/Index?noticeUID=CO1.NTC.3882329&amp;isFromPublicArea=True&amp;isModal=False</t>
  </si>
  <si>
    <t>DIEGO NICOLAS MORENO HERNANDEZ</t>
  </si>
  <si>
    <t>876-1234</t>
  </si>
  <si>
    <t>39-44-101146432</t>
  </si>
  <si>
    <t>909-1268</t>
  </si>
  <si>
    <t>ANGELA PATRICIA BERNAL SANABRIA</t>
  </si>
  <si>
    <t>380 47 994000133827</t>
  </si>
  <si>
    <t>380- 47- 994000133827</t>
  </si>
  <si>
    <t>FDLF-CPS-044-2023</t>
  </si>
  <si>
    <t>FDLF-CD-044-2023 (86215)</t>
  </si>
  <si>
    <t>https://community.secop.gov.co/Public/Tendering/OpportunityDetail/Index?noticeUID=CO1.NTC.3887611&amp;isFromPublicArea=True&amp;isModal=False</t>
  </si>
  <si>
    <t>PRESTARSERVICIOSPROFESIONALESESPECIALIZADOSPARAAPOYARALALCALDELOCALENELSEGUIMIENTO,REVISIÓNYCONSOLIDACIÓNDELASETAPASPRECONTRACTUALESYCONTRACTUALESENELMARCODELPLANANUALDEADQUISICIONESDELFONDODEDESARROLLOLOCALDEFONTIBÓN</t>
  </si>
  <si>
    <t>34-047994000042500</t>
  </si>
  <si>
    <t>FDLF-CPS-045-2023</t>
  </si>
  <si>
    <t>FDLF-CD-045-2023 (86249)</t>
  </si>
  <si>
    <t>https://community.secop.gov.co/Public/Tendering/OpportunityDetail/Index?noticeUID=CO1.NTC.3887685&amp;isFromPublicArea=True&amp;isModal=False</t>
  </si>
  <si>
    <t>PRESTARLOSSERVICIOSPROFESIONALESADMINISTRATIVOSALFONDODEDESARROLLOLOCALDEFONTIBONENELFORTALECIMIENTODEDIFERENTESETAPASDELAGESTIONPUBLICA,ENCAMINADASALCUMPLIMIENDODELPLANDEDESARROLLOLOCALVIGENTEYDELASDIFERENTESETAPASLEGALESYADMINISTRATIVAS</t>
  </si>
  <si>
    <t>JUAN DAVID RAMIREZ MONTOYA</t>
  </si>
  <si>
    <t>14-46-101085595</t>
  </si>
  <si>
    <t>FDLF-CPS-046-2023</t>
  </si>
  <si>
    <t>FDLF-CD-046-2023 (86971)</t>
  </si>
  <si>
    <t>https://community.secop.gov.co/Public/Tendering/OpportunityDetail/Index?noticeUID=CO1.NTC.3893766&amp;isFromPublicArea=True&amp;isModal=False</t>
  </si>
  <si>
    <t>PRESTARSERVICIOSCOMOPROFESIONALPARALAEVALUACIÓN,SEGUIMIENTOENTEMASDEPORTIVOSDEACTIVIDADFÍSICAYRECREATIVOSENLALOCALIDADDEFONTIBÓN</t>
  </si>
  <si>
    <t>EDWARD ERNESTO JEREZ GONZALEZ</t>
  </si>
  <si>
    <t>14-46-101085750</t>
  </si>
  <si>
    <t>FDLF-CPS-047-2023</t>
  </si>
  <si>
    <t>FDLF-CD-047-2023 (82262)</t>
  </si>
  <si>
    <t>https://community.secop.gov.co/Public/Tendering/OpportunityDetail/Index?noticeUID=CO1.NTC.3887941&amp;isFromPublicArea=True&amp;isModal=False</t>
  </si>
  <si>
    <t>PRESTARSERVICIOSDEAPOYOOPERATIVOPARALASACTIVIDADESRELACIONADASCONELMANTENIMIENTOYREPARACIONESMENORESDELASEDEYDEAPOYOOPERATIVOALOSPROYECTOSDELAALCALDIALOCAL</t>
  </si>
  <si>
    <t>ALVARO ACEVEDO CAJAMARCA</t>
  </si>
  <si>
    <t>21-46-101059912</t>
  </si>
  <si>
    <t>FDLF-CPS-048-2023</t>
  </si>
  <si>
    <t>FDLF-CD-048-2023 (83961)</t>
  </si>
  <si>
    <t>https://community.secop.gov.co/Public/Tendering/OpportunityDetail/Index?noticeUID=CO1.NTC.3888043&amp;isFromPublicArea=True&amp;isModal=False</t>
  </si>
  <si>
    <t>MARTHA ISABEL MONTOYA ALCANTARA</t>
  </si>
  <si>
    <t>340-47-994000042597</t>
  </si>
  <si>
    <t>FDLF-CPS-049-2023</t>
  </si>
  <si>
    <t>FDLF-CD-049-2023 (83814)</t>
  </si>
  <si>
    <t>https://community.secop.gov.co/Public/Tendering/OpportunityDetail/Index?noticeUID=CO1.NTC.3888044&amp;isFromPublicArea=True&amp;isModal=False</t>
  </si>
  <si>
    <t>PRESTARSERVICIOSDEAPOYOENLASACTIVIDADESDEACOMPAÑAMIENTO,CONTROLYORGANIZACIÓNLOGISTICAPARALASACTIVIDADESYESTRATEGIASGENERADASPORLAALCALDÍALOCALDEFONTIBON</t>
  </si>
  <si>
    <t xml:space="preserve">MIGUEL ANGEL VELASQUEZ MEJIA </t>
  </si>
  <si>
    <t>14-46-101085366</t>
  </si>
  <si>
    <t>BRYAN ANDRES GUZMAN MONTENEGRO</t>
  </si>
  <si>
    <t>14-46-101087608</t>
  </si>
  <si>
    <t>CEDIDO-TERMINACION</t>
  </si>
  <si>
    <t>FDLF-CPS-050-2023</t>
  </si>
  <si>
    <t>FDLF-CD-050-2023 (83961)</t>
  </si>
  <si>
    <t>https://community.secop.gov.co/Public/Tendering/OpportunityDetail/Index?noticeUID=CO1.NTC.3890216&amp;isFromPublicArea=True&amp;isModal=False</t>
  </si>
  <si>
    <t>DORIS YOLANDA BAYONA GOMEZ</t>
  </si>
  <si>
    <t>891-1236</t>
  </si>
  <si>
    <t>340 47 994000042599</t>
  </si>
  <si>
    <t>905-1304</t>
  </si>
  <si>
    <t>1/02/2023-27/09/2023</t>
  </si>
  <si>
    <t>340-47-994000042599</t>
  </si>
  <si>
    <t>92 DIAS</t>
  </si>
  <si>
    <t>FDLF-CPS-051-2023</t>
  </si>
  <si>
    <t>FDLF-CD-051-2023 (83663)</t>
  </si>
  <si>
    <t>https://community.secop.gov.co/Public/Tendering/OpportunityDetail/Index?noticeUID=CO1.NTC.3890223&amp;isFromPublicArea=True&amp;isModal=False</t>
  </si>
  <si>
    <t>PRESTARSERVICIOSPROFESIONALESPARAAPOYARELPROYECTODEPARTICIPACIONENLAPROMOCIÓN,ACOMPAÑAMIENTOYATENCIÓNDELASINSTANCIASDEARTICULACIONESINTERINSTITUCIONALESYLASINSTANCIASDEPARTICIPACIÓNLOCALES,ASÍCOMOLOSPROCESOSCOMUNITARIOSENLALOCALIDAD.</t>
  </si>
  <si>
    <t>DIEGO VALERO MATEUS</t>
  </si>
  <si>
    <t>14-46-101086001</t>
  </si>
  <si>
    <t>FDLF-CPS-052-2023</t>
  </si>
  <si>
    <t>FDLF-CD-052-2023 (83961)</t>
  </si>
  <si>
    <t>https://community.secop.gov.co/Public/Tendering/OpportunityDetail/Index?noticeUID=CO1.NTC.3892672&amp;isFromPublicArea=True&amp;isModal=False</t>
  </si>
  <si>
    <t>ALEJANDRA GONZÁLEZ MAHECHA</t>
  </si>
  <si>
    <t>14-46-101081679</t>
  </si>
  <si>
    <t>FDLF-CPS-053-2023</t>
  </si>
  <si>
    <t>FDLF-CD-053-2023 (83933)</t>
  </si>
  <si>
    <t>https://community.secop.gov.co/Public/Tendering/OpportunityDetail/Index?noticeUID=CO1.NTC.3887706&amp;isFromPublicArea=True&amp;isModal=False</t>
  </si>
  <si>
    <t>APOYARTÉCNICAMENTELASDISTINTASETAPASDELOSPROCESOSDECOMPETENCIADELASINSPECCIONESDEPOLICÍADELALOCALIDAD,SEGÚNREPARTO</t>
  </si>
  <si>
    <t>JOSE ALBEYRO AVILEZ CRUZ</t>
  </si>
  <si>
    <t>895-1273</t>
  </si>
  <si>
    <t>17/01/2023-15/09/2023</t>
  </si>
  <si>
    <t>15-44-101274614</t>
  </si>
  <si>
    <t>919-1266</t>
  </si>
  <si>
    <t>2/02/2023-15/09/2023</t>
  </si>
  <si>
    <t>FDLF-CPS-054-2023</t>
  </si>
  <si>
    <t>FDLF-CD-054-2023 (87000)</t>
  </si>
  <si>
    <t>https://community.secop.gov.co/Public/Tendering/OpportunityDetail/Index?noticeUID=CO1.NTC.3911042&amp;isFromPublicArea=True&amp;isModal=False</t>
  </si>
  <si>
    <t>PRESTARSERVICIOSCOMOPROFESIONALESPARAAPOYARALAALCALDÍALOCALDEFONTIBÓNENELDESARROLLODELPROYECTO1762ENLOSCOMPONENTESDEORIENTACIÓN,ASESORÍAFAMILIAR,POSICIONAMIENTOYPROMOCIÓNDELBUENTRATO</t>
  </si>
  <si>
    <t>DINALUZ DIAZ PALACIO</t>
  </si>
  <si>
    <t>17-46-101024143</t>
  </si>
  <si>
    <t>LAURA VALERIA RAIRAN BENAVIDES</t>
  </si>
  <si>
    <t>FDLF-CPS-055-2023</t>
  </si>
  <si>
    <t>FDLF-CD-055-2022 (87000)</t>
  </si>
  <si>
    <t>https://community.secop.gov.co/Public/Tendering/OpportunityDetail/Index?noticeUID=CO1.NTC.3909837&amp;isFromPublicArea=True&amp;isModal=False</t>
  </si>
  <si>
    <t>MARÍA DEL PILAR CHIQUITO TORRES</t>
  </si>
  <si>
    <t>936-1274</t>
  </si>
  <si>
    <t>14-46-101086105</t>
  </si>
  <si>
    <t>923-1278</t>
  </si>
  <si>
    <t>FDLF-CPS-056-2023</t>
  </si>
  <si>
    <t>FDLF-CD-056-2023 (85979)</t>
  </si>
  <si>
    <t>https://community.secop.gov.co/Public/Tendering/OpportunityDetail/Index?noticeUID=CO1.NTC.3892557&amp;isFromPublicArea=True&amp;isModal=False</t>
  </si>
  <si>
    <t>PRESTARSERVICIOSPROFESIONALESPARAAPOYARLASACTIVIDADESDEREACTIVACIÓNECONÓMICADESARROLLADASPORLAALCALDÍALOCALDEFONTIBÓN</t>
  </si>
  <si>
    <t>PAOLA ANDREA PEREZ REINA</t>
  </si>
  <si>
    <t>14-46-101085350</t>
  </si>
  <si>
    <t>MONICA ALEJANDRA PERILLA FONTECHA</t>
  </si>
  <si>
    <t>FDLF-CPS-057-2023</t>
  </si>
  <si>
    <t>FDLF-CD-057-2023 (83751)</t>
  </si>
  <si>
    <t>ANULADO</t>
  </si>
  <si>
    <t>MARLOM GONZALEZ SILVA</t>
  </si>
  <si>
    <t>FDLF-CPS-058-2023</t>
  </si>
  <si>
    <t>FDLF-CD-058-2023 (83881)</t>
  </si>
  <si>
    <t>https://community.secop.gov.co/Public/Tendering/OpportunityDetail/Index?noticeUID=CO1.NTC.3893176&amp;isFromPublicArea=True&amp;isModal=False</t>
  </si>
  <si>
    <t>PRESTARSERVICIOSPROFESIONALESPARAAPOYARLAFORMULACIÓNDEESTRATEGIASCOMUNICATIVASRELACIONADASCONELTEMADEMUJER,GÉNEROYPOBLACIONESDIVERSAS.</t>
  </si>
  <si>
    <t>CARMEN ROSA RAMOS LÓPEZ</t>
  </si>
  <si>
    <t>14-46-101085368</t>
  </si>
  <si>
    <t>FDLF-CPS-059-2023</t>
  </si>
  <si>
    <t>FDLF-CD-059-2023 (83760)</t>
  </si>
  <si>
    <t>https://community.secop.gov.co/Public/Tendering/OpportunityDetail/Index?noticeUID=CO1.NTC.3922102&amp;isFromPublicArea=True&amp;isModal=False</t>
  </si>
  <si>
    <t>PRESTARSERVICIOSPROFESIONALESPARAAPOYARLAFORMULACIÓN,SEGUIMIENTOYSUPERVISIÓNDELOSPROCESOSDERIVADOSDELPROYECTODEINVERSIÓNNO.1757,ORIENTADOALOSTEMASDEPORTIVOSDEACTIVIDADFÍSICAYRECREATIVOSENLALOCALIDAD.</t>
  </si>
  <si>
    <t>LEONARDO NARVAEZ PUERTA</t>
  </si>
  <si>
    <t>972-1275</t>
  </si>
  <si>
    <t>11-46-101032556</t>
  </si>
  <si>
    <t>931-1273</t>
  </si>
  <si>
    <t>6/02/2023-19/09/2023</t>
  </si>
  <si>
    <t>FDLF-CPS-060-2023</t>
  </si>
  <si>
    <t>FDLF-CD-060-2023(83876)</t>
  </si>
  <si>
    <t>https://community.secop.gov.co/Public/Tendering/OpportunityDetail/Index?noticeUID=CO1.NTC.3893350&amp;isFromPublicArea=True&amp;isModal=False</t>
  </si>
  <si>
    <t>JULIO CESAR MUÑOZ OLMOS</t>
  </si>
  <si>
    <t>21-46-101059935</t>
  </si>
  <si>
    <t>FDLF-CPS-061-2023</t>
  </si>
  <si>
    <t>FDLF-CD-061-2023(83876)</t>
  </si>
  <si>
    <t>https://community.secop.gov.co/Public/Tendering/OpportunityDetail/Index?noticeUID=CO1.NTC.3893722&amp;isFromPublicArea=True&amp;isModal=False</t>
  </si>
  <si>
    <t>LEVIS HENRY PAEZ HERNANDEZ</t>
  </si>
  <si>
    <t>14-46-101085677</t>
  </si>
  <si>
    <t>FDLF-CPS-062-2023</t>
  </si>
  <si>
    <t>FDLF-CD-062-2023(86990)</t>
  </si>
  <si>
    <t>https://community.secop.gov.co/Public/Tendering/OpportunityDetail/Index?noticeUID=CO1.NTC.3901675&amp;isFromPublicArea=True&amp;isModal=False</t>
  </si>
  <si>
    <t>PRESTARSERVICIOSPROFESIONALESDEAPOYOJURÍDICOENLASETAPASCONTRACTUALES,REVISIÓNDEPAGOS,LIQUIDACIÓNDECONTRATOSYAPOYOENLADEPURACIÓNDEOBLIGACIONESPORPAGAR</t>
  </si>
  <si>
    <t>YARSELY SUAREZ SUAREZ</t>
  </si>
  <si>
    <t>942-1244</t>
  </si>
  <si>
    <t>39-44-101146480</t>
  </si>
  <si>
    <t>920-1264</t>
  </si>
  <si>
    <t>FDLF-CPS-063-2023</t>
  </si>
  <si>
    <t>FDLF-CD-063-2023 (83961)</t>
  </si>
  <si>
    <t>https://community.secop.gov.co/Public/Tendering/OpportunityDetail/Index?noticeUID=CO1.NTC.3894308&amp;isFromPublicArea=True&amp;isModal=False</t>
  </si>
  <si>
    <t>14-46-101085388</t>
  </si>
  <si>
    <t>2 MESES</t>
  </si>
  <si>
    <t xml:space="preserve">FDLF-CPS-064-2023 </t>
  </si>
  <si>
    <t>FDLF-CD-064-2023 (86251)</t>
  </si>
  <si>
    <t>ANA MARIA AZUERO BRIÑEZ</t>
  </si>
  <si>
    <t xml:space="preserve">FDLF-CPS-065-2023 </t>
  </si>
  <si>
    <t>FDLF-CD-065-2023 (86251)</t>
  </si>
  <si>
    <t>EDITH LUCIA QUECANO CARDENAS</t>
  </si>
  <si>
    <t>FDLF-CPS-066-2023</t>
  </si>
  <si>
    <t>FDLF-CD-066-2023 (83574)</t>
  </si>
  <si>
    <t>https://community.secop.gov.co/Public/Tendering/OpportunityDetail/Index?noticeUID=CO1.NTC.3906555&amp;isFromPublicArea=True&amp;isModal=False</t>
  </si>
  <si>
    <t>PRESTARSERVICIOSPROFESIONALESESPECIALIZADOSPARALAFORMULACIÓN,SEGUIMIENTOYEVALUACIÓNDEPOLÍTICAS,PLANES,PROGRAMASYPROYECTOSDEDESARROLLOLOCAL,PARAELCUMPLIMIENTODELASMETASDELPLANDEDESARROLLOLOCALDEFONTIBÓN</t>
  </si>
  <si>
    <t xml:space="preserve">	969</t>
  </si>
  <si>
    <t>14-46-101085901</t>
  </si>
  <si>
    <t>10 MESES Y 28 DIAS</t>
  </si>
  <si>
    <t>FDLF-CPS-067-2023</t>
  </si>
  <si>
    <t>FDLF-CD-067-2023 (83636)</t>
  </si>
  <si>
    <t>https://community.secop.gov.co/Public/Tendering/OpportunityDetail/Index?noticeUID=CO1.NTC.3905240&amp;isFromPublicArea=True&amp;isModal=False</t>
  </si>
  <si>
    <t>APOYARALALCALDELOCALENELSEGUIMIENTOYMEJORADELAESTRATEGIALOCALIMPLEMENTADAPARALATERMINACIONJURIDICADELASACTUACIONESADMINISTRATIVASQUEALAFECHACURSANENLAALCALDIALOCALDEFONTIBON</t>
  </si>
  <si>
    <t>LUIS MIGUEL SANCHEZ RAMOS</t>
  </si>
  <si>
    <t>14-46-101086060</t>
  </si>
  <si>
    <t>FDLF-CPS-068-2023</t>
  </si>
  <si>
    <t>FDLF-CD-068-2023(86993)</t>
  </si>
  <si>
    <t>https://community.secop.gov.co/Public/Tendering/OpportunityDetail/Index?noticeUID=CO1.NTC.3915777&amp;isFromPublicArea=True&amp;isModal=False</t>
  </si>
  <si>
    <t>PRESTARSUSSERVICIOSPROFESIONALESPARAAPOYARLAGESTIÓNDELOSDIFERENTESPROCESOSQUESEADELANTANENLAALCALDÍALOCAL,ENTEMASRELACIONADOSCONTRANSPORTE,MAQUINARIAAMARILLA,FORMULACIÓN,CONTROLYSEGUIMIENTODELASACTIVIDADESDEFUNCIONAMIENTOACORDEALPLANDEDESARROLLOLOCAL</t>
  </si>
  <si>
    <t>JAISSON HERNEY PALACIOS GOMEZ</t>
  </si>
  <si>
    <t>990-1280</t>
  </si>
  <si>
    <t xml:space="preserve">	14-46-101086229</t>
  </si>
  <si>
    <t>926-1272</t>
  </si>
  <si>
    <t>3/02/2023-18/09/2023</t>
  </si>
  <si>
    <t>14-46-101086229</t>
  </si>
  <si>
    <t>104 DIAS</t>
  </si>
  <si>
    <t>FDLF-CPS-069-2023</t>
  </si>
  <si>
    <t>FDLF-CD-069-2023(83950)</t>
  </si>
  <si>
    <t>https://community.secop.gov.co/Public/Tendering/OpportunityDetail/Index?noticeUID=CO1.NTC.3909819&amp;isFromPublicArea=True&amp;isModal=False</t>
  </si>
  <si>
    <t>PRESTARSERVICIOSPROFESIONALESPARAAPOYARLAFORMULACIÓN,SEGUIMIENTOYAPOYOALASUPERVISIÓNDELOSPROCESOSCONTRACTUALESDERIVADOSDELPROYECTODEINVERSIÓNNO.1768,ENELMARCODELASNECESIDADESDELAALCALDÍALOCALDEFONTIBÓN.</t>
  </si>
  <si>
    <t>JUAN CARLOS LEON GARCIA</t>
  </si>
  <si>
    <t>14-46-101086175</t>
  </si>
  <si>
    <t>JAIRO JULIAN RIVERA FONSECA</t>
  </si>
  <si>
    <t>FDLF-CPS-070-2023</t>
  </si>
  <si>
    <t>FDLF-CD-070-2023 (86970)</t>
  </si>
  <si>
    <t xml:space="preserve">https://community.secop.gov.co/Public/Tendering/OpportunityDetail/Index?noticeUID=CO1.NTC.3992612&amp;isFromPublicArea=True&amp;isModal=False
</t>
  </si>
  <si>
    <t>PRESTARLOSSERVICIOSPROFESIONALESALAALCALDÍALOCALDEFONTIBÓN,PARALAFORMULACIÓN,EVALUACIÓN,SEGUIMIENTOYAPOYOALASUPERVISIÓNDELPROYECTODEVÍCTIMASASÍCOMOELACOMPAÑAMIENTOALOSPROCESOSQUESEADELANTENPARALAPOBLACIÓNDEVÍCTIMASQUEHABITAENLALOCALIDAD.</t>
  </si>
  <si>
    <t>LINA MARÍA BELTRÁN TARAZONA</t>
  </si>
  <si>
    <t>14-46-10108817</t>
  </si>
  <si>
    <t>PAULA ANDREA DIAZ MALDONADO</t>
  </si>
  <si>
    <t>FDLF-CPS-071-2023</t>
  </si>
  <si>
    <t>FDLF-CD-071-2023 (86980)</t>
  </si>
  <si>
    <t>https://community.secop.gov.co/Public/Tendering/OpportunityDetail/Index?noticeUID=CO1.NTC.3944762&amp;isFromPublicArea=True&amp;isModal=False</t>
  </si>
  <si>
    <t>PRESTARSUSSERVICIOSPROFESIONALES,APOYANDOLAFORMULACIÓNPROYECTOSYACOMPAÑANDOELDESARROLLODELOSPROCESOSADMINISTRATIVOSREQUERIDOSPARAELCUMPLIMIENTODELOSPROYECTOSDEFUNCIONAMIENTOEINVERSIÓNDELAALCALDÍALOCALDEFONTIBÓN</t>
  </si>
  <si>
    <t>SANDRA PAOLA ROMERO JIMÉNEZ</t>
  </si>
  <si>
    <t>944-1279</t>
  </si>
  <si>
    <t>24/01/2023-16/09/2023</t>
  </si>
  <si>
    <t>18-46-101016761</t>
  </si>
  <si>
    <t>935-1287</t>
  </si>
  <si>
    <t>6/02/2023-21/09/2023</t>
  </si>
  <si>
    <t>SILVIA 	JULIANA BOTERO URQUIJO</t>
  </si>
  <si>
    <t>15-44-101278118</t>
  </si>
  <si>
    <t>101 DIAS</t>
  </si>
  <si>
    <t>FDLF-CPS-072-2023</t>
  </si>
  <si>
    <t>FDLF-CD-072-2023 (87051)</t>
  </si>
  <si>
    <t>PRESTARSERVICIOSPROFESIONALESPARAAPOYARPROCESOSDEPARTICIPACIÓNCIUDADANAYCOMUNITARIA.ACOMPAÑARYATENDERINSTANCIASDEPARTICIPACIÓNYPROCESOSDEARTICULACIÓNINTERINSTITUCIONALENLALOCALIDADDEFONTIBÓN</t>
  </si>
  <si>
    <t>CHRISTIAN VESGA GONZALEZ</t>
  </si>
  <si>
    <t>983-1276</t>
  </si>
  <si>
    <t>14-46-101086859</t>
  </si>
  <si>
    <t>937-1285</t>
  </si>
  <si>
    <t>7/02/2023-21/09/2023</t>
  </si>
  <si>
    <t>FDLF-CPS-073-2023</t>
  </si>
  <si>
    <t>FDLF-CD-073-2023 (87051)</t>
  </si>
  <si>
    <t>https://community.secop.gov.co/Public/Tendering/OpportunityDetail/Index?noticeUID=CO1.NTC.3921966&amp;isFromPublicArea=True&amp;isModal=False</t>
  </si>
  <si>
    <t>PRESTARSERVICIOSPROFESIONALESPARAAPOYARLASACTIVIDADESTÉCNICASYADMINISTRATIVASPROPIASDELACASADELCONSUMIDORENELMARCODELCONVENIOSUSCRITOENTRELASUPERINTENDENCIADEINDUSTRIAYCOMERCIOYLAALCALDIALOCALDEFONTIBON</t>
  </si>
  <si>
    <t>ERICK RAUL IGLESIAS CARPINTERO</t>
  </si>
  <si>
    <t>938-1291</t>
  </si>
  <si>
    <t>26/01/2023-20/09/2023</t>
  </si>
  <si>
    <t>15-46-101031224</t>
  </si>
  <si>
    <t>936-1284</t>
  </si>
  <si>
    <t>FDLF-CPS-074-2023</t>
  </si>
  <si>
    <t>FDLF-CD-074-2023 (83915)</t>
  </si>
  <si>
    <t>https://community.secop.gov.co/Public/Tendering/OpportunityDetail/Index?noticeUID=CO1.NTC.3923062&amp;isFromPublicArea=True&amp;isModal=False</t>
  </si>
  <si>
    <t>JENNYFER ANDREA BELTRAN SUAREZ</t>
  </si>
  <si>
    <t>966-1278</t>
  </si>
  <si>
    <t>26/01/2023-16/09/2023</t>
  </si>
  <si>
    <t>33-44-101235308</t>
  </si>
  <si>
    <t>927-1277</t>
  </si>
  <si>
    <t>FDLF-CPS-075-2023</t>
  </si>
  <si>
    <t>FDLF-CD-075-2023 (86970)</t>
  </si>
  <si>
    <t>https://community.secop.gov.co/Public/Tendering/OpportunityDetail/Index?noticeUID=CO1.NTC.3940845&amp;isFromPublicArea=True&amp;isModal=False</t>
  </si>
  <si>
    <t>YONATAN ORDOÑEZ HURTADO</t>
  </si>
  <si>
    <t>952-1277</t>
  </si>
  <si>
    <t>14-46-101086934</t>
  </si>
  <si>
    <t>938-1275</t>
  </si>
  <si>
    <t>7/02/2023-19/09/2023</t>
  </si>
  <si>
    <t>LINA MARIA BELTRAN TARAZONA</t>
  </si>
  <si>
    <t>FDLF-CPS-076-2023</t>
  </si>
  <si>
    <t>FDLF-CD-076-2023 (86994)</t>
  </si>
  <si>
    <t>https://community.secop.gov.co/Public/Tendering/OpportunityDetail/Index?noticeUID=CO1.NTC.3922809&amp;isFromPublicArea=True&amp;isModal=False</t>
  </si>
  <si>
    <t>PRESTARSERVICIOSPROFESIONALESPARAAPOYARLASACTIVIDADESTÉCNICASYADMINISTRATIVASPROPIASDELACASADELCONSUMIDOR,ENELMARCODELCONVENIOSUSCRITOENTRELASUPERINTENDENCIADEINDUSTRIAYCOMERCIOYLAALCALDIALOCALDEFONTIBON.</t>
  </si>
  <si>
    <t>JOSE  HUMBERTO HERNANDEZ RIOS</t>
  </si>
  <si>
    <t>939-1292</t>
  </si>
  <si>
    <t>14-44-101173823</t>
  </si>
  <si>
    <t>932-1292</t>
  </si>
  <si>
    <t>PEN</t>
  </si>
  <si>
    <t>FDLF-CPS-077-2023</t>
  </si>
  <si>
    <t>FDLF-CD-077-2023 (85979)</t>
  </si>
  <si>
    <t>https://community.secop.gov.co/Public/Tendering/OpportunityDetail/Index?noticeUID=CO1.NTC.3924884&amp;isFromPublicArea=True&amp;isModal=False</t>
  </si>
  <si>
    <t>JENNIFER DANIELA CAMPOS ROZO</t>
  </si>
  <si>
    <t>17-44-101208395</t>
  </si>
  <si>
    <t>FDLF-CPS-078-2023</t>
  </si>
  <si>
    <t>FDLF-CD-078-2023 (86004)</t>
  </si>
  <si>
    <t>https://community.secop.gov.co/Public/Tendering/OpportunityDetail/Index?noticeUID=CO1.NTC.3924437&amp;isFromPublicArea=True&amp;isModal=False</t>
  </si>
  <si>
    <t>PRESTARSERVICIOSDEAPOYOTÉCNICOPARALAOPERACIÓN,SEGUIMIENTOYCUMPLIMIENTODELOSPROCESOSYPROCEDIMIENTOSDELAALCALDÍALOCALDEFONTIBÓNORIENTADOSALCUMPLIMIENTODELASMETASDELPROYECTODEINVERSIÓNNO1761"</t>
  </si>
  <si>
    <t>JOSE LUIS BELTRAN CAMARGO</t>
  </si>
  <si>
    <t>11-44101197818</t>
  </si>
  <si>
    <t>FDLF-CPS-079-2023</t>
  </si>
  <si>
    <t>FDLF-CD-079-2023(83884)</t>
  </si>
  <si>
    <t>https://community.secop.gov.co/Public/Tendering/OpportunityDetail/Index?noticeUID=CO1.NTC.3950235&amp;isFromPublicArea=True&amp;isModal=False</t>
  </si>
  <si>
    <t>PRESTARSERVICIOSPROFESIONALESPARALAGESTIÓNYSEGUIMIENTODEACTIVIDADESENFOCADASALAGESTIÓNAMBIENTALEXTERNA,ENCAMINADASALAMITIGACIÓNDELOSDIFERENTESIMPACTOSAMBIENTALESYLACONSERVACIÓNDELOSRECURSOSNATURALESDELALOCALIDAD</t>
  </si>
  <si>
    <t>JUAN CAMILO ABRIL GALINDO</t>
  </si>
  <si>
    <t>33-46-101048342</t>
  </si>
  <si>
    <t>FDLF-CPS-080-2023</t>
  </si>
  <si>
    <t>FDLF-CD-080-2023 (83624)</t>
  </si>
  <si>
    <t>https://community.secop.gov.co/Public/Tendering/OpportunityDetail/Index?noticeUID=CO1.NTC.3935389&amp;isFromPublicArea=True&amp;isModal=False</t>
  </si>
  <si>
    <t>PRESTACIONDESERVICIOSESPECIALIZADOSDEAPOYOALDESPACHODELALCALDELOCALENLAREVISIÓN,GESTIÓN,EJECUCIÓNYSEGUIMIENTODELAEJECUCIÓNPRESUPUESTAL,PROCESOSADMINISTRATIVOSYORGANIZACIONALESDELÁREADEGESTIÓNDEDESARROLLOLOCAL</t>
  </si>
  <si>
    <t>14-46-101086655</t>
  </si>
  <si>
    <t>10 MESES Y 25 DIAS</t>
  </si>
  <si>
    <t>FDLF-CPS-081-2023</t>
  </si>
  <si>
    <t>FDLF-CD-081-2023 (87137)</t>
  </si>
  <si>
    <t>https://community.secop.gov.co/Public/Tendering/OpportunityDetail/Index?noticeUID=CO1.NTC.3944769&amp;isFromPublicArea=True&amp;isModal=False</t>
  </si>
  <si>
    <t>PRESTARSERVICIOSPROFESIONALESPARAAPOYARLAPROMOCIÓN,ACOMPAÑAMIENTOYATENCIÓNDELASINSTANCIASDEARTICULACIONESINTERINSTITUCIONALESYLASINSTANCIASDEPARTICIPACIÓNLOCALES,ASÍCOMOLOSPROCESOSCOMUNITARIOSENLALOCALIDAD</t>
  </si>
  <si>
    <t>BIBIANA BAUTISTA ZABALETA</t>
  </si>
  <si>
    <t>989-1286</t>
  </si>
  <si>
    <t>11-46-101032881</t>
  </si>
  <si>
    <t>939-1294</t>
  </si>
  <si>
    <t>8/02/2023-22/09/2023</t>
  </si>
  <si>
    <t>FDLF-CPS-082-2023</t>
  </si>
  <si>
    <t>FDLF-CD-082-2023 (86992)</t>
  </si>
  <si>
    <t>https://community.secop.gov.co/Public/Tendering/OpportunityDetail/Index?noticeUID=CO1.NTC.3957684&amp;isFromPublicArea=True&amp;isModal=False</t>
  </si>
  <si>
    <t>APOYARELCUBRIMIENTODELASACTIVIDADES,CRONOGRAMASYAGENDADELAALCALDÍALOCALANIVELINTERNOYEXTERNO,ASÍCOMOLAGENERACIÓNDECONTENIDOSPERIODÍSTICOS</t>
  </si>
  <si>
    <t>MARIA CAMILA HENAO MONTOYA</t>
  </si>
  <si>
    <t>100-1287</t>
  </si>
  <si>
    <t>949-1289</t>
  </si>
  <si>
    <t>10/02/2023-21/09/2023</t>
  </si>
  <si>
    <t>FDLF-CPS-083-2023</t>
  </si>
  <si>
    <t>FDLF-CD-083-2023 (86250)</t>
  </si>
  <si>
    <t>https://community.secop.gov.co/Public/Tendering/OpportunityDetail/Index?noticeUID=CO1.NTC.3957769&amp;isFromPublicArea=True&amp;isModal=False</t>
  </si>
  <si>
    <t>SERVICIOSPROFESIONALESPARALAOPERACIÓN,PRESTACIÓN,SEGUIMIENTOYCUMPLIMIENTODELOSPROCEDIMIENTOSADMINISTRATIVOS,OPERATIVOSYPROGRAMÁTICOSDELSERVICIOAPOYOECONÓMICOTIPOC,QUECONTRIBUYANALAGARANTÍADELOSDERECHOSDELAPOBLACIÓNMAYORENELMARCODELAPOLÍTICAPÚBLICASOCIALPARAELENVEJECIMIENTOYLAVEJEZENELDISTRITOCAPITALACARGODELAALCALDÍALOCAL</t>
  </si>
  <si>
    <t>DUDLEY JOHANNA PALACIOS GARCIA</t>
  </si>
  <si>
    <t>962-1288</t>
  </si>
  <si>
    <t>14-46-101087275</t>
  </si>
  <si>
    <t>942-1286</t>
  </si>
  <si>
    <t>9/02/2023-21/09/2023</t>
  </si>
  <si>
    <t>NATALIA ANDREA SERRATO CRUZ</t>
  </si>
  <si>
    <t>FDLF-CPS-084-2023</t>
  </si>
  <si>
    <t>FDLF-CD-084-2023 (86970)</t>
  </si>
  <si>
    <t>https://community.secop.gov.co/Public/Tendering/OpportunityDetail/Index?noticeUID=CO1.NTC.3957686&amp;isFromPublicArea=True&amp;isModal=False</t>
  </si>
  <si>
    <t>PRESTARLOSSERVICIOSPROFESIONALESALAALCALDÍALOCALDEFONTIBÓN,PARALAFORMULACIÓN,EVALUACIÓN,SEGUIMIENTOYAPOYOALASUPERVISIÓNDELPROYECTODEVÍCTIMASASÍCOMOELACOMPAÑAMIENTOALOSPROCESOSQUESEADELANTENPARALAPOBLACIÓNDEVÍCTIMASQUEHABITAENLALOCALIDAD</t>
  </si>
  <si>
    <t>GEOVANNA MORENO ESCOBAR</t>
  </si>
  <si>
    <t>952-1289</t>
  </si>
  <si>
    <t>14-46-101087269</t>
  </si>
  <si>
    <t>941-1282</t>
  </si>
  <si>
    <t>8/02/2023-21/09/2023</t>
  </si>
  <si>
    <t>99 DIAS</t>
  </si>
  <si>
    <t>FDLF-CPS-085-2023</t>
  </si>
  <si>
    <t>FDLF-CD-085-2023 (86973)</t>
  </si>
  <si>
    <t>https://community.secop.gov.co/Public/Tendering/OpportunityDetail/Index?noticeUID=CO1.NTC.3961819&amp;isFromPublicArea=True&amp;isModal=False</t>
  </si>
  <si>
    <t>PRESTARSERVICIOSPROFESIONALESPARABRINDARAPOYOJURÍDICOENELTRÁMITEYDESARROLLODELOSDESPACHOSCOMISORIOSQUEPORCOMPETENCIACORRESPONDENALAALCALDÍALOCALDEFONTIBÓN</t>
  </si>
  <si>
    <t>MAURICIO NICOLAS RICAURTE BENITEZ</t>
  </si>
  <si>
    <t>950-1290</t>
  </si>
  <si>
    <t>BCH-100025132</t>
  </si>
  <si>
    <t>950-1302</t>
  </si>
  <si>
    <t>10/02/2023-25/09/2023</t>
  </si>
  <si>
    <t>94 DIAS</t>
  </si>
  <si>
    <t>FDLF-CPS-086-2023</t>
  </si>
  <si>
    <t>FDLF-CD-086-2023 (87106)</t>
  </si>
  <si>
    <t>https://community.secop.gov.co/Public/Tendering/OpportunityDetail/Index?noticeUID=CO1.NTC.3961551&amp;isFromPublicArea=True&amp;isModal=False</t>
  </si>
  <si>
    <t>PRESTARSERVICIOSTECNICOSENELDESARROLLODEPRODUCTOSPARALAAPROPIACIONDIFUSIONYSOCIALIZACIONPARALAALCALDIALOCALDEFONTIBONENPROYECTOSDEREACTIVACIONECONOMICAYCOMUNICACIONES</t>
  </si>
  <si>
    <t>NÉSTOR ALFONSO QUINTERO ORREGO</t>
  </si>
  <si>
    <t>986-1283</t>
  </si>
  <si>
    <t xml:space="preserve">	14-46-101087399</t>
  </si>
  <si>
    <t>947-1295</t>
  </si>
  <si>
    <t>10/02/2023-22/09/2023</t>
  </si>
  <si>
    <t>FDLF-CPS-087-2023</t>
  </si>
  <si>
    <t>FDLF-CD-087-2023 (86974)</t>
  </si>
  <si>
    <t>https://community.secop.gov.co/Public/Tendering/OpportunityDetail/Index?noticeUID=CO1.NTC.3958035&amp;isFromPublicArea=True&amp;isModal=False</t>
  </si>
  <si>
    <t>PRESTARSERVICIOSCOMOPROFESIONALDEAPOYOALAGESTIÓNRELACIONADACONELESPACIOPÚBLICO,ESTABLECIMIENTOSDECOMERCIOYLASACCIONESOPERATIVASPARAELCONTROLAMBIENTALPARALAALCALDÍALOCALDEFONTIBÓN</t>
  </si>
  <si>
    <t>CARLOS ALBERTO DUARTE DURAN</t>
  </si>
  <si>
    <t>949-1281</t>
  </si>
  <si>
    <t>26/01/2023-18/09/2023</t>
  </si>
  <si>
    <t xml:space="preserve">	11-46-101032943</t>
  </si>
  <si>
    <t>940-1293</t>
  </si>
  <si>
    <t>JULIO MARIO FRANCO RODRÍGUEZ</t>
  </si>
  <si>
    <t>14-46-101092108</t>
  </si>
  <si>
    <t>FDLF-CPS-088-2023</t>
  </si>
  <si>
    <t>FDLF-CD-088-2023 (83915)</t>
  </si>
  <si>
    <t>https://community.secop.gov.co/Public/Tendering/OpportunityDetail/Index?noticeUID=CO1.NTC.3956175&amp;isFromPublicArea=True&amp;isModal=False</t>
  </si>
  <si>
    <t>APOYARJURÍDICAMENTELAEJECUCIÓNDELASACCIONESREQUERIDASPARALADEPURACIÓNDELASACTUACIONESADMINISTRATIVASQUECURSANENLAALCALDÍALOCAL</t>
  </si>
  <si>
    <t>GINA ESTEPHANIA LESCANO NIÑO</t>
  </si>
  <si>
    <t>966-1262</t>
  </si>
  <si>
    <t>18-44-101086625</t>
  </si>
  <si>
    <t>943-1296</t>
  </si>
  <si>
    <t>FDLF-CPS-089-2023</t>
  </si>
  <si>
    <t>FDLF-CD-089-2023 (83915)</t>
  </si>
  <si>
    <t>https://community.secop.gov.co/Public/Tendering/OpportunityDetail/Index?noticeUID=CO1.NTC.3957679&amp;isFromPublicArea=True&amp;isModal=False</t>
  </si>
  <si>
    <t>JOSE RICARDO PULGARIN ALVAREZ</t>
  </si>
  <si>
    <t>966-1247</t>
  </si>
  <si>
    <t xml:space="preserve">	14-44-101174324</t>
  </si>
  <si>
    <t>944-1290</t>
  </si>
  <si>
    <t>JUAN MANUEL TRONCOSO VILLAMIZAR</t>
  </si>
  <si>
    <t>14-44-101180887</t>
  </si>
  <si>
    <t>FDLF-CPS-090-2023</t>
  </si>
  <si>
    <t>FDLF-CD-090-2023 (86976)</t>
  </si>
  <si>
    <t>https://community.secop.gov.co/Public/Tendering/OpportunityDetail/Index?noticeUID=CO1.NTC.3961284&amp;isFromPublicArea=True&amp;isModal=False</t>
  </si>
  <si>
    <t xml:space="preserve">	PRESTARLOSSERVICIOSDEAPOYOALAEJECUCIÓNDEACTIVIDADESDECARACTERIZACIÓN,ACOMPAÑAMIENTOYAPOYOALOSPROCESOSDEPARTICIPACIÓNYRELACIONESINTERINSTITUCIONALESDELAALCALDÍALOCAL</t>
  </si>
  <si>
    <t>SARA GABRIELA MORENO VELASCO</t>
  </si>
  <si>
    <t>947-1232</t>
  </si>
  <si>
    <t>26/01/2023-10/09/2023</t>
  </si>
  <si>
    <t>14-46-101087648</t>
  </si>
  <si>
    <t>946-1280</t>
  </si>
  <si>
    <t>10/02/2023-20/09/2023</t>
  </si>
  <si>
    <t>95 DIAS</t>
  </si>
  <si>
    <t>FDLF-CPS-091-2023</t>
  </si>
  <si>
    <t>FDLF-CD-091-2023 (86977)</t>
  </si>
  <si>
    <t>https://community.secop.gov.co/Public/Tendering/OpportunityDetail/Index?noticeUID=CO1.NTC.3957685&amp;isFromPublicArea=True&amp;isModal=False</t>
  </si>
  <si>
    <t>PRESTARSERVICIOSPROFESIONALESPARAAPOYARELPROYECTODEPARTICIPACIONENLAPROMOCIÓN,ACOMPAÑAMIENTOYATENCIÓNDELASINSTANCIASDEARTICULACIONESINTERINSTITUCIONALESYLASINSTANCIASDEPARTICIPACIÓNLOCALES,ASÍCOMOLOSPROCESOSCOMUNITARIOSENLALOCALIDAD</t>
  </si>
  <si>
    <t>NELLY ANGELICA MELENDEZ NUÑEZ</t>
  </si>
  <si>
    <t>946-1257</t>
  </si>
  <si>
    <t>11-46-101032931</t>
  </si>
  <si>
    <t>945-1291</t>
  </si>
  <si>
    <t>FDLF-CPS-092-2023</t>
  </si>
  <si>
    <t>FDLF-CD-092-2023(86972)</t>
  </si>
  <si>
    <t>https://community.secop.gov.co/Public/Tendering/OpportunityDetail/Index?noticeUID=CO1.NTC.3970458&amp;isFromPublicArea=True&amp;isModal=False</t>
  </si>
  <si>
    <t>PRESTARSERVICIOSTÉCNICOSPARAELAPOYOALASACTIVIDADESCORRESPONDIENTESATEMASDEMALLAVIAL,OBRAS,ESPACIOPÚBLICOEINFRAESTRUCTURAPARALAALCALDÍALOCALDEFONTIBÓN</t>
  </si>
  <si>
    <t>EDGAR AUGUSTO GRANADOS MEJIA</t>
  </si>
  <si>
    <t>1000-1258</t>
  </si>
  <si>
    <t>3/02/2023-13/09/2023</t>
  </si>
  <si>
    <t>14-46-101087635</t>
  </si>
  <si>
    <t>954-1299</t>
  </si>
  <si>
    <t>13/02/2023-25/09/2023</t>
  </si>
  <si>
    <t>FRANK JAMIR CUADROS GUATAQUIRA</t>
  </si>
  <si>
    <t>FDLF-CPS-093-2023</t>
  </si>
  <si>
    <t>FDLF-CD-093-2023 (86975)</t>
  </si>
  <si>
    <t>MARIA ISABEL BUITRAGO POLOCHE</t>
  </si>
  <si>
    <t>FDLF-CPS-094-2023</t>
  </si>
  <si>
    <t>FDLF-CD-094-2023 (86998)</t>
  </si>
  <si>
    <t xml:space="preserve">
https://community.secop.gov.co/Public/Tendering/OpportunityDetail/Index?noticeUID=CO1.NTC.3990839&amp;isFromPublicArea=True&amp;isModal=False</t>
  </si>
  <si>
    <t>APOYARJURIDICAMENTELAATENCIÓNYELSEGUIMIENTODELASACCIONESCONSTITUCIONALES(DEGRUPO,POPULARESYDETUTELA)ENLASQUESEVEAVINCULADALAALCALDÍALOCAL.</t>
  </si>
  <si>
    <t>CESAR AUGUSTO BUITRAGO AMORTEGUI</t>
  </si>
  <si>
    <t>984-1259</t>
  </si>
  <si>
    <t>31/01/2023-13/09/2023</t>
  </si>
  <si>
    <t>14-46-101088099</t>
  </si>
  <si>
    <t>967-1303</t>
  </si>
  <si>
    <t>16/02/2023-26/09/2023</t>
  </si>
  <si>
    <t>FDLF-CPS-095-2023</t>
  </si>
  <si>
    <t>FDLF-CD-095-2023 (83787)</t>
  </si>
  <si>
    <t>https://community.secop.gov.co/Public/Tendering/OpportunityDetail/Index?noticeUID=CO1.NTC.3974022&amp;isFromPublicArea=True&amp;isModal=False</t>
  </si>
  <si>
    <t xml:space="preserve">	PRESTARSERVICIOSDEAPOYOTÉCNICOALAALCALDÍALOCALDEFONTIBÓNCOMOMONITORDEPORTIVOPARALAFORMACIÓNDELASESCUELASDEPORTIVASDEFONTIBÓN</t>
  </si>
  <si>
    <t>DANIEL ALEJANDRO CAMERO PARRA</t>
  </si>
  <si>
    <t>14-46-101087827</t>
  </si>
  <si>
    <t>FDLF-CPS-096-2023</t>
  </si>
  <si>
    <t>FDLF-CD-096-2023 (87581)</t>
  </si>
  <si>
    <t>https://community.secop.gov.co/Public/Tendering/OpportunityDetail/Index?noticeUID=CO1.NTC.3977421&amp;isFromPublicArea=True&amp;isModal=False</t>
  </si>
  <si>
    <t>PRESTARSERVICIOSPROFESIONALESESPECIALIZADOSPARALAFORMULACIÓN,SEGUIMIENTOYEVALUACIÓNDEPOLÍTICAS,PLANES,PROGRAMASYPROYECTOSDEDESARROLLOLOCAL,PARAELCUMPLIMIENTODELASMETASDELPLANDEDESARROLLOLOCALDEFONTIBÓ</t>
  </si>
  <si>
    <t xml:space="preserve">	14-46-101087639</t>
  </si>
  <si>
    <t>10 MESES</t>
  </si>
  <si>
    <t>FDLF-CPS-097-2023</t>
  </si>
  <si>
    <t>FDLF-CD-097-2023 (86256)</t>
  </si>
  <si>
    <t>https://community.secop.gov.co/Public/Tendering/OpportunityDetail/Index?noticeUID=CO1.NTC.3977651&amp;isFromPublicArea=True&amp;isModal=False</t>
  </si>
  <si>
    <t>PRESTARELSERVICIOPARAAPOYARCONLACONDUCCIÓNDEVEHÍCULOSLIVIANOS,PESADOSY/OMAQUINARIAPESADAQUESEENCUENTRANALSERVICIODELASACTIVIDADESQUESEDESARROLLANENELFONDODEDESARROLLOLOCALDEFONTIBÓN</t>
  </si>
  <si>
    <t>NICOLAS JAVIER CIFUENTES MORALES</t>
  </si>
  <si>
    <t>11-46-101033139</t>
  </si>
  <si>
    <t>FDLF-CPS-098-2023</t>
  </si>
  <si>
    <t>DLF-CD-098-2023 (87093)</t>
  </si>
  <si>
    <t>https://community.secop.gov.co/Public/Tendering/OpportunityDetail/Index?noticeUID=CO1.NTC.3994738&amp;isFromPublicArea=True&amp;isModal=False</t>
  </si>
  <si>
    <t>DESARROLLARELCUBRIMIENTODELASACTIVIDADES,YACCIONESDELAAGENDADEFORTALECIMIENTOCOMUNITARIOYPARTICIPACIONDELAALCALDÍALOCALANIVELINTERNOYEXTERNO,ASÍCOMOLAGENERACIÓNDECONTENIDOSPERIODÍSTICOS</t>
  </si>
  <si>
    <t>YEAN GABRIEL LEMUS DIAZ</t>
  </si>
  <si>
    <t>985-1294</t>
  </si>
  <si>
    <t>31/01/2023-26/09/2023</t>
  </si>
  <si>
    <t>14-46-101088278</t>
  </si>
  <si>
    <t>966-1308</t>
  </si>
  <si>
    <t>16/02/2023-29/09/2023</t>
  </si>
  <si>
    <t>89 DIAS</t>
  </si>
  <si>
    <t>FDLF-CPS-099-2023</t>
  </si>
  <si>
    <t>FDLF-CD-099-2023 (87092)</t>
  </si>
  <si>
    <t>https://community.secop.gov.co/Public/Tendering/OpportunityDetail/Index?noticeUID=CO1.NTC.3995096&amp;isFromPublicArea=True&amp;isModal=False</t>
  </si>
  <si>
    <t>PRESTARSERVICIOSTECNICOSCONAUTONOMIATECNICAYADMINISTRATIVAPARAAPOYARLAFORMULACION,SEGUIMIENTOALOSPROCESOSDERIVADOSDELPROYECTODEINVERSIÓNORIENTADOALOSTEMASDEPORTIVOSDEACTIVIDADFÍSICAYRECREATIVOSENLALOCALIDAD</t>
  </si>
  <si>
    <t>VALENTINA ARISTIZABAL MEDINA</t>
  </si>
  <si>
    <t>1004-1260</t>
  </si>
  <si>
    <t>6/02/2023-13/09/2023</t>
  </si>
  <si>
    <t>14-46-101088177</t>
  </si>
  <si>
    <t>957-1305</t>
  </si>
  <si>
    <t>15/02/2023-27/09/2023</t>
  </si>
  <si>
    <t>93 DIAS</t>
  </si>
  <si>
    <t>FDLF-CPS-100-2023</t>
  </si>
  <si>
    <t>FDLF-CD-100-2023 (87000)</t>
  </si>
  <si>
    <t>https://community.secop.gov.co/Public/Tendering/OpportunityDetail/Index?noticeUID=CO1.NTC.4028654&amp;isFromPublicArea=True&amp;isModal=False</t>
  </si>
  <si>
    <t xml:space="preserve">KATTI CARBALLO SIERRA </t>
  </si>
  <si>
    <t>998-1340</t>
  </si>
  <si>
    <t>26/01/2023-02/10/2023</t>
  </si>
  <si>
    <t>33-46-101049122</t>
  </si>
  <si>
    <t>997-1333</t>
  </si>
  <si>
    <t>23/02/2023-06/10/2023</t>
  </si>
  <si>
    <t>82 DIAS</t>
  </si>
  <si>
    <t>FDLF-CPS-101-2023</t>
  </si>
  <si>
    <t>FDLF-CD-101-2023 (83787)</t>
  </si>
  <si>
    <t>DIEGO FERNANDO ALARCON LARA</t>
  </si>
  <si>
    <t>FDLF-CPS-102-2023</t>
  </si>
  <si>
    <t>FDLF-CD-102-2023 (87129)</t>
  </si>
  <si>
    <t>https://community.secop.gov.co/Public/Tendering/OpportunityDetail/Index?noticeUID=CO1.NTC.3994736&amp;isFromPublicArea=True&amp;isModal=False</t>
  </si>
  <si>
    <t>PRESTARSERVICIOSDEAPOYOALAALCALDÍALOCALDEFONTIBÓNENLASLABORESASISTENCIALESPARALOSMONITORESDEPORTIVOSENLAFORMACIÓNDELASESCUELASDEPORTIVASDEFONTIBÓN</t>
  </si>
  <si>
    <t>LINA MARIA ROMERO FONTECHA</t>
  </si>
  <si>
    <t>987-1261</t>
  </si>
  <si>
    <t>300-00046794183</t>
  </si>
  <si>
    <t>959-1298</t>
  </si>
  <si>
    <t>15/02/2023-22/09/2023</t>
  </si>
  <si>
    <t>FDLF-CPS-103-2023</t>
  </si>
  <si>
    <t>FDLF-CD-103-2023 (86981)</t>
  </si>
  <si>
    <t>https://community.secop.gov.co/Public/Tendering/OpportunityDetail/Index?noticeUID=CO1.NTC.4004161&amp;isFromPublicArea=True&amp;isModal=False</t>
  </si>
  <si>
    <t>PRESTARSUSSERVICIOSPROFESIONALESPARAREALIZARACTIVIDADESCONCERNIENTESALAPRODUCCIÓNYPOSTPRODUCCIÓNOPERATIVADELASACTIVIDADES,SEGÚNLASNECESIDADESDELASDIFERENTESGESTIONESDELAALCALDÍALOCALDEFONTIBÓNYLORELACIONADOCONLOSELEMENTOSYBIENESQUEHACENPARTEDELINVENTARIODELFONDODEDESARROLLOLOCAL</t>
  </si>
  <si>
    <t>943-1263</t>
  </si>
  <si>
    <t>14-46-101088648</t>
  </si>
  <si>
    <t>965-1301</t>
  </si>
  <si>
    <t>16/02/2023-25/09/2023</t>
  </si>
  <si>
    <t>FDLF-CPS-104-2023</t>
  </si>
  <si>
    <t>FDLF-CD-104-2023 (87567)</t>
  </si>
  <si>
    <t>https://community.secop.gov.co/Public/Tendering/OpportunityDetail/Index?noticeUID=CO1.NTC.4009290&amp;isFromPublicArea=True&amp;isModal=False</t>
  </si>
  <si>
    <t>LUIS ALFREDO DUARTE PÉREZ</t>
  </si>
  <si>
    <t>1012-1311</t>
  </si>
  <si>
    <t>15/02/202-02/10/2023</t>
  </si>
  <si>
    <t>21-46-101063285</t>
  </si>
  <si>
    <t>969-1319</t>
  </si>
  <si>
    <t>17/02/2023-04/10/2023</t>
  </si>
  <si>
    <t>96 DIAS</t>
  </si>
  <si>
    <t>FDLF-CPS-105-2023</t>
  </si>
  <si>
    <t>FDLF-CD-105-2023 (87567)</t>
  </si>
  <si>
    <t>https://community.secop.gov.co/Public/Tendering/OpportunityDetail/Index?noticeUID=CO1.NTC.4009476&amp;isFromPublicArea=True&amp;isModal=False</t>
  </si>
  <si>
    <t>JAIR ANDRES ACEVEDO RINCON</t>
  </si>
  <si>
    <t>1012-1310</t>
  </si>
  <si>
    <t>15/02/2023-02/10/2023</t>
  </si>
  <si>
    <t>14-46-101088596</t>
  </si>
  <si>
    <t>970-1320</t>
  </si>
  <si>
    <t>86 DIAS</t>
  </si>
  <si>
    <t>FDLF-CPS-106-2023</t>
  </si>
  <si>
    <t>FDLF-CD-106-2023 (83915)</t>
  </si>
  <si>
    <t>https://community.secop.gov.co/Public/Tendering/OpportunityDetail/Index?noticeUID=CO1.NTC.3999772&amp;isFromPublicArea=True&amp;isModal=False</t>
  </si>
  <si>
    <t>OSCAR IVAN MOLINA MARTINEZ</t>
  </si>
  <si>
    <t>966-1265</t>
  </si>
  <si>
    <t>26/01/2023-14/09/2023</t>
  </si>
  <si>
    <t>39-44-101147064</t>
  </si>
  <si>
    <t>960-1306</t>
  </si>
  <si>
    <t>15/02/2023-29/09/2023</t>
  </si>
  <si>
    <t>FDLF-CPS-107-2023</t>
  </si>
  <si>
    <t>FDLF-CPS-107-2023 (86252)</t>
  </si>
  <si>
    <t>https://community.secop.gov.co/Public/Tendering/OpportunityDetail/Index?noticeUID=CO1.NTC.4003318&amp;isFromPublicArea=True&amp;isModal=False</t>
  </si>
  <si>
    <t xml:space="preserve">PRESTARSERVICIOSTÉCNICOSPARALAOPERACIÓN,SEGUIMIENTOYCUMPLIMIENTODELOSPROCESOSYPROCEDIMIENTOSDELSERVICIOSOCIALAPOYOPARALASEGURIDADECONÓMICATIPOC,REQUERIDOSPARAELOPORTUNOYADECUADOREGISTRO,CRUCEYREPORTEDEDATOSENELSISTEMADEINFORMACIÓNYREGISTRODEBENEFICIARIOSSIRBE,QUECONTRIBUYANALAGARANTÍADELOSDERECHOSDELAPOBLACIÓNMAYORENELMARCODELAPOLÍTICAPÚBLICASOCIALPARAELENVEJECIMIENTOYLAVEJEZENELDISTRITOCAPITALACARGODELAALCALDÍA	</t>
  </si>
  <si>
    <t>SANDRA JANEHT TRIVIÑO GARCIA</t>
  </si>
  <si>
    <t>981-1266</t>
  </si>
  <si>
    <t>30/01/2023-14/09/2023</t>
  </si>
  <si>
    <t>14-44101174945</t>
  </si>
  <si>
    <t>962-1281</t>
  </si>
  <si>
    <t>15/02/2023-20/09/2023</t>
  </si>
  <si>
    <t>FDLF-CPS-108-2023</t>
  </si>
  <si>
    <t>FDLF-CD-108-2023 (87597)</t>
  </si>
  <si>
    <t>https://community.secop.gov.co/Public/Tendering/OpportunityDetail/Index?noticeUID=CO1.NTC.4003228&amp;isFromPublicArea=True&amp;isModal=False</t>
  </si>
  <si>
    <t>FRANK JAMIR CUADROS GUATAQUIRÁ</t>
  </si>
  <si>
    <t>1011-1267</t>
  </si>
  <si>
    <t>13/02/2023-14/09/2023</t>
  </si>
  <si>
    <t>33-44-101235690</t>
  </si>
  <si>
    <t>958-1276</t>
  </si>
  <si>
    <t>15/02/2023-19/09/2023</t>
  </si>
  <si>
    <t>FDLF-CPS-109-2023</t>
  </si>
  <si>
    <t>FDLF-CD-109-2023 (87610)</t>
  </si>
  <si>
    <t>https://community.secop.gov.co/Public/Tendering/OpportunityDetail/Index?noticeUID=CO1.NTC.3999776&amp;isFromPublicArea=True&amp;isModal=False</t>
  </si>
  <si>
    <t>COORDINARLAARTICULACIÓN,ASISTENCIAYACOMPAÑAMIENTODELOSPROCESOSDEPLANEACIÓNLOCAL,PARALAPROMOCIÓNDELAPARTICIPACIÓNDELASMUJERESYDELAEQUIDADDEGÉNERO,PARAMATERIALIZARENLALOCALIDADLASESTRATEGIASDETERRITORIALIZACIÓNYTRANSVERSALIZACIÓNDELAPOLÍTICAPUBLICADEMUJERESYEQUIDADDEGÉNERO,PPMYEG</t>
  </si>
  <si>
    <t xml:space="preserve">
JULIANA BALLESTEROS CASILIMAS</t>
  </si>
  <si>
    <t>1006-1268</t>
  </si>
  <si>
    <t>13/01/2023-14/09/2023</t>
  </si>
  <si>
    <t>11-44-101198327</t>
  </si>
  <si>
    <t>961-1283</t>
  </si>
  <si>
    <t>15/02/2023-21/09/2023</t>
  </si>
  <si>
    <t>FDLF-CPS-110-2023</t>
  </si>
  <si>
    <t>FDLF-CD-108-2023(87609)</t>
  </si>
  <si>
    <t xml:space="preserve">https://community.secop.gov.co/Public/Tendering/OpportunityDetail/Index?noticeUID=CO1.NTC.4003228&amp;isFromPublicArea=True&amp;isModal=False
</t>
  </si>
  <si>
    <t>PRESTARSERVICIOSDEAPOYOENLASACTIVIDADESDESEGURIDADYCONVIVENCIACIUDADANA,DEACUERDOCONLASNECESIDADESYESTRATEGIASEMANADASDESDELAALCALDÍALOCALDEFONTIBÓN</t>
  </si>
  <si>
    <t>DEIBYS ALEXANDER VARGAS LEON</t>
  </si>
  <si>
    <t>14-46-101089112</t>
  </si>
  <si>
    <t>FDLF-CPS-111-2023</t>
  </si>
  <si>
    <t>FDLF-CD-111-2023(87738)</t>
  </si>
  <si>
    <t xml:space="preserve">https://community.secop.gov.co/Public/Tendering/OpportunityDetail/Index?noticeUID=CO1.NTC.4028544&amp;isFromPublicArea=True&amp;isModal=False
</t>
  </si>
  <si>
    <t>PRESTARSERVICIOSPROFESIONALESYASISTENCIALESPARAAPOYARLASACTIVIDADESDEREACTIVACIÓNECONÓMICADESARROLLADASPORLAALCALDÍALOCALDEFONTIBONOBLIGACIONESESPECIFICAS</t>
  </si>
  <si>
    <t>BRAYAN STIVEN BURGOS GAMBOA</t>
  </si>
  <si>
    <t>1014-1309</t>
  </si>
  <si>
    <t>15/02/2023-02/10/023</t>
  </si>
  <si>
    <t>14-46-101089008</t>
  </si>
  <si>
    <t>976-1321</t>
  </si>
  <si>
    <t>20/02/2023-04/10/2023</t>
  </si>
  <si>
    <t>NIDIA MARIA DE LA VICTORIA CASTRO</t>
  </si>
  <si>
    <t>14-46-101098665</t>
  </si>
  <si>
    <t>FDLF-CPS-112-2023</t>
  </si>
  <si>
    <t>FDLF-CD-112-2023 (87565)</t>
  </si>
  <si>
    <t>https://community.secop.gov.co/Public/Tendering/OpportunityDetail/Index?noticeUID=CO1.NTC.4023991&amp;isFromPublicArea=True&amp;isModal=False</t>
  </si>
  <si>
    <t>PRESTARSERVICIOSPROFESIONALESPARAAPOYARLOSPROCESOSRELACIONADOSCONLOSCONTRATOSDEINVERSIÓNYFUNCIONAMIENTO,VERIFICACIÓNDELPROCEDIMIENTODEPAGOSYREVISIÓNDECARPETASYDOCUMENTOSDEPAGOALLEGADASALDESPACHOPARARESPECTIVAFIRMADELALCALDELOCAL</t>
  </si>
  <si>
    <t>OSCAR JOSE SUAREZ PEÑA</t>
  </si>
  <si>
    <t>1015-1341</t>
  </si>
  <si>
    <t>340-77-994000043313</t>
  </si>
  <si>
    <t>973-1325</t>
  </si>
  <si>
    <t>85 DIAS</t>
  </si>
  <si>
    <t>FDLF-CPS-113-2023</t>
  </si>
  <si>
    <t>FDLF-CD-113-2023 (87696)</t>
  </si>
  <si>
    <t xml:space="preserve">https://community.secop.gov.co/Public/Tendering/OpportunityDetail/Index?noticeUID=CO1.NTC.4028622&amp;isFromPublicArea=True&amp;isModal=False
</t>
  </si>
  <si>
    <t>PRESTARSERVICIOSPROFESIONALESPARALIDERARYGARANTIZARLAIMPLEMENTACIONYSEGUIMIENTODELOSPROCESOSYPROCEDIMIENTOSDELSERVICIOSOCIALENLALOCALIDADDEFONTIBÓN</t>
  </si>
  <si>
    <t xml:space="preserve">NATALIA ANDREA SERRATO CRUZ </t>
  </si>
  <si>
    <t>1019-1306</t>
  </si>
  <si>
    <t>21-46-101063780</t>
  </si>
  <si>
    <t>988-1326</t>
  </si>
  <si>
    <t>21/02/2023-04/10/2023</t>
  </si>
  <si>
    <t>FDLF-CPS-114-2023</t>
  </si>
  <si>
    <t>FDLF-CD-114-2023 (87698)</t>
  </si>
  <si>
    <t xml:space="preserve">https://community.secop.gov.co/Public/Tendering/OpportunityDetail/Index?noticeUID=CO1.NTC.4021165&amp;isFromPublicArea=True&amp;isModal=False
</t>
  </si>
  <si>
    <t>CAMILO ANDRES CARDOZO LEON</t>
  </si>
  <si>
    <t>1017-1305</t>
  </si>
  <si>
    <t>38-047994000132300</t>
  </si>
  <si>
    <t>972-1318</t>
  </si>
  <si>
    <t>20/02/2023-03/10/2023</t>
  </si>
  <si>
    <t>380 47 994000132367</t>
  </si>
  <si>
    <t>FDLF-CPS-115-2023</t>
  </si>
  <si>
    <t>FDLF-CD-115-2023 (87507)</t>
  </si>
  <si>
    <t xml:space="preserve">https://community.secop.gov.co/Public/Tendering/OpportunityDetail/Index?noticeUID=CO1.NTC.4029648&amp;isFromPublicArea=True&amp;isModal=False
</t>
  </si>
  <si>
    <t>LUZ DARY IBARRA ROJAS</t>
  </si>
  <si>
    <t>360-47-994000025714</t>
  </si>
  <si>
    <t>FDLF-CPS-116-2023</t>
  </si>
  <si>
    <t>FDLF-CD-116-2023 (87507)</t>
  </si>
  <si>
    <t xml:space="preserve">https://community.secop.gov.co/Public/Tendering/OpportunityDetail/Index?noticeUID=CO1.NTC.4029200&amp;isFromPublicArea=True&amp;isModal=False
</t>
  </si>
  <si>
    <t>JAMES STEVEN BOLAÑOS PIRAMANRIQUE</t>
  </si>
  <si>
    <t>14-46-101089237</t>
  </si>
  <si>
    <t>FDLF-CPS-117-2023</t>
  </si>
  <si>
    <t>FDLF-CD-117-2023 (87507)</t>
  </si>
  <si>
    <t xml:space="preserve">https://community.secop.gov.co/Public/Tendering/OpportunityDetail/Index?noticeUID=CO1.NTC.4029802&amp;isFromPublicArea=True&amp;isModal=False
</t>
  </si>
  <si>
    <t>NORBERTO HERREÑO VELASQUEZ</t>
  </si>
  <si>
    <t>360-47-994000025684</t>
  </si>
  <si>
    <t>FDLF-CPS-118-2023</t>
  </si>
  <si>
    <t>FDLF-CD-118-2023 (87507)</t>
  </si>
  <si>
    <t xml:space="preserve">https://community.secop.gov.co/Public/Tendering/OpportunityDetail/Index?noticeUID=CO1.NTC.4029653&amp;isFromPublicArea=True&amp;isModal=False
</t>
  </si>
  <si>
    <t>ANDREA STEFANIA CAREÑO MORALES</t>
  </si>
  <si>
    <t>360-47-994000025713</t>
  </si>
  <si>
    <t>FDLF-CPS-119-2023</t>
  </si>
  <si>
    <t>FDLF-CD-119-2023 (87507)</t>
  </si>
  <si>
    <t xml:space="preserve">https://community.secop.gov.co/Public/Tendering/OpportunityDetail/Index?noticeUID=CO1.NTC.4030837&amp;isFromPublicArea=True&amp;isModal=False
</t>
  </si>
  <si>
    <t>ZULMA JANNETH QUIVANO VALDERRAMA</t>
  </si>
  <si>
    <t>360-47-994000025712</t>
  </si>
  <si>
    <t>FDLF-CPS-120-2023</t>
  </si>
  <si>
    <t>FDLF-CD-120-2023 (87524)</t>
  </si>
  <si>
    <t xml:space="preserve">https://community.secop.gov.co/Public/Tendering/OpportunityDetail/Index?noticeUID=CO1.NTC.4033612&amp;isFromPublicArea=True&amp;isModal=False
</t>
  </si>
  <si>
    <t>PRESTARSUSSERVICIOSPROFESIONALES,PARALACOORDINACIÓN,ADMINISTRACIÓN,ORGANIZACIÓN,DIRECCIONAMIENTO,DISTRIBUCIÓNDEDOCUMENTOSOFICIALES,INFORMATIVOSYSOCIALESPARALASDIFERENTESDEPENDENCIASDELAALCALDÍALOCALDEFONTIBÓN,BAJOLOSPROCEDIMIENTOSESTABLECIDOSENELCDIDELÁREADEGESTIÓNDEDESARROLLOLOCAL</t>
  </si>
  <si>
    <t>XIMENA ANDREA PARRAGA GOMEZ</t>
  </si>
  <si>
    <t>1029-1304</t>
  </si>
  <si>
    <t>16/02/2023-02/10/2023</t>
  </si>
  <si>
    <t>62-46-101005015</t>
  </si>
  <si>
    <t>985-1337</t>
  </si>
  <si>
    <t>21/02/2023-06/10/2023</t>
  </si>
  <si>
    <t>84 DIAS</t>
  </si>
  <si>
    <t>FDLF-CPS-121-2023</t>
  </si>
  <si>
    <t>FDLF-CD-121-2023 ( 87762)</t>
  </si>
  <si>
    <t xml:space="preserve">https://community.secop.gov.co/Public/Tendering/OpportunityDetail/Index?noticeUID=CO1.NTC.4033838&amp;isFromPublicArea=True&amp;isModal=False
</t>
  </si>
  <si>
    <t>PRESTARSERVICIOSPROFESIONALESPARAAPOYARLOSPROYECTOSDEINVERSIÓNORIENTADOSALOSTEMASDEEDUCACIÓN.</t>
  </si>
  <si>
    <t>1031-1303</t>
  </si>
  <si>
    <t>17/02/2023-02/10/2023</t>
  </si>
  <si>
    <t>NB-100247671</t>
  </si>
  <si>
    <t>977-1316</t>
  </si>
  <si>
    <t>FDLF-CPS-122-2023</t>
  </si>
  <si>
    <t>FDLF-CD-122-2023 (87565)</t>
  </si>
  <si>
    <t xml:space="preserve">https://community.secop.gov.co/Public/Tendering/OpportunityDetail/Index?noticeUID=CO1.NTC.4032960&amp;isFromPublicArea=True&amp;isModal=False
</t>
  </si>
  <si>
    <t>LUIS HERNANDO SOLER BOLAÑOS</t>
  </si>
  <si>
    <t>1015-1302</t>
  </si>
  <si>
    <t>14-46-101089026</t>
  </si>
  <si>
    <t>978-1317</t>
  </si>
  <si>
    <t>FDLF-CPS-123-2023</t>
  </si>
  <si>
    <t>FDLF-CD-123-2023 (87698)</t>
  </si>
  <si>
    <t xml:space="preserve">https://community.secop.gov.co/Public/Tendering/OpportunityDetail/Index?noticeUID=CO1.NTC.4032966&amp;isFromPublicArea=True&amp;isModal=False
</t>
  </si>
  <si>
    <t>HUGO LÓPEZ ORTEGA</t>
  </si>
  <si>
    <t>1017-1301</t>
  </si>
  <si>
    <t>36-46-101017278</t>
  </si>
  <si>
    <t>979-1328</t>
  </si>
  <si>
    <t>20/02/2023-05/10/2023</t>
  </si>
  <si>
    <t>FDLF-CPS-124-2023</t>
  </si>
  <si>
    <t>FDLF-CD-124-2023 (87135)</t>
  </si>
  <si>
    <t xml:space="preserve">https://community.secop.gov.co/Public/Tendering/OpportunityDetail/Index?noticeUID=CO1.NTC.4057198&amp;isFromPublicArea=True&amp;isModal=False
</t>
  </si>
  <si>
    <t>PRESTARSERVICIOSPROFESIONALESPARAAPOYARLAIMPLEMENTACIÓNDEACCIONESRELACIONADASCONELTEMADEMUJER,GÉNEROYPOBLACIONESDIVERSAS.</t>
  </si>
  <si>
    <t>LUZ ADRIANA JIMÉNEZ MEDINA</t>
  </si>
  <si>
    <t>988-1345</t>
  </si>
  <si>
    <t>31/01/2023-05/10/2023</t>
  </si>
  <si>
    <t>14-46-101089594</t>
  </si>
  <si>
    <t>1000-1338</t>
  </si>
  <si>
    <t>FDLF-CD-125-2023</t>
  </si>
  <si>
    <t>FDLF-CD-125-2023 (83915)</t>
  </si>
  <si>
    <t xml:space="preserve">https://community.secop.gov.co/Public/Tendering/OpportunityDetail/Index?noticeUID=CO1.NTC.4032230&amp;isFromPublicArea=True&amp;isModal=False
</t>
  </si>
  <si>
    <t>ALBA LILIANA AREVALO BARBOSA</t>
  </si>
  <si>
    <t>966-1337</t>
  </si>
  <si>
    <t>14-44-101175497</t>
  </si>
  <si>
    <t>974-1327</t>
  </si>
  <si>
    <t>FDLF-CD-126-2023</t>
  </si>
  <si>
    <t>FDLF-CD-126-2022 (87643)</t>
  </si>
  <si>
    <t xml:space="preserve">https://community.secop.gov.co/Public/Tendering/OpportunityDetail/Index?noticeUID=CO1.NTC.4040707&amp;isFromPublicArea=True&amp;isModal=False
</t>
  </si>
  <si>
    <t>PRESTARSERVICIOSCOMOPROFESIONALPARALAFORMULACIÓN,EVALUACIÓN,SEGUIMIENTOYAPOYOALASUPERVISIÓNDELPROYECTO1762ENLOSCOMPONENTESDEORIENTACIÓN,ASESORÍAFAMILIAR,POSICIONAMIENTOYPROMOCIÓNDELBUENTRATO</t>
  </si>
  <si>
    <t>1023-1300</t>
  </si>
  <si>
    <t>62-46-101005007</t>
  </si>
  <si>
    <t>993-1341</t>
  </si>
  <si>
    <t>22/02/2023-06/10/2023</t>
  </si>
  <si>
    <t>FDLF-CPS-127-2023</t>
  </si>
  <si>
    <t>FDLF-CD-127-2023 (87873)</t>
  </si>
  <si>
    <t xml:space="preserve">https://community.secop.gov.co/Public/Tendering/OpportunityDetail/Index?noticeUID=CO1.NTC.4040817&amp;isFromPublicArea=True&amp;isModal=False
</t>
  </si>
  <si>
    <t>SERVICIOSPROFESIONALESDEAPOYOCONTABLEENLOSPROCESOSDECAUSACIÓN,SISTEMATIZACIÓNYREGISTROSDEINFORMACIÓNCONTABLE</t>
  </si>
  <si>
    <t>WILSON NICOLAS BERIGUES MONDRAGON</t>
  </si>
  <si>
    <t>1028-1350</t>
  </si>
  <si>
    <t>16/02/2023-05/10/2023</t>
  </si>
  <si>
    <t>25-46-101026266</t>
  </si>
  <si>
    <t>986-1336</t>
  </si>
  <si>
    <t>83 DIAS</t>
  </si>
  <si>
    <t>JOAQUIN SALINAS TIBABUSO</t>
  </si>
  <si>
    <t>FDLF-CPS-128-2023</t>
  </si>
  <si>
    <t>FDLF-CD-128-2023 (87514)</t>
  </si>
  <si>
    <t xml:space="preserve">https://community.secop.gov.co/Public/Tendering/OpportunityDetail/Index?noticeUID=CO1.NTC.4038564&amp;isFromPublicArea=True&amp;isModal=False
</t>
  </si>
  <si>
    <t>PRESTARSERVICIOSDEAPOYOALASACTIVIDADESOPERATIVASYADMINISTRATIVASDELAJUNTAADMINISTRADORALOCAL</t>
  </si>
  <si>
    <t>JEIMMY ZAMANDA CRUZ BALLESTEROS</t>
  </si>
  <si>
    <t>1016-1299</t>
  </si>
  <si>
    <t>21-46-101063784</t>
  </si>
  <si>
    <t>975-1322</t>
  </si>
  <si>
    <t>FDLF-CPS-129-2023</t>
  </si>
  <si>
    <t>FDLF-CD-129-2023 (87694)</t>
  </si>
  <si>
    <t>https://community.secop.gov.co/Public/Tendering/OpportunityDetail/Index?noticeUID=CO1.NTC.4057446&amp;isFromPublicArea=True&amp;isModal=False</t>
  </si>
  <si>
    <t>PRESTARSERVICIOSDEAPOYOTÉCNICOENELMARCODELPROYECTO1759</t>
  </si>
  <si>
    <t>GYNETH GABRIELA GONZÁLEZ PUENTES</t>
  </si>
  <si>
    <t>1020-1336</t>
  </si>
  <si>
    <t>14-46-101089504</t>
  </si>
  <si>
    <t>998-1332</t>
  </si>
  <si>
    <t>23/02/2023-05/10/2023</t>
  </si>
  <si>
    <t>ANDRES FELIPE MONTEALEGRE CARILLO</t>
  </si>
  <si>
    <t>FDLF-CPS-130-2023</t>
  </si>
  <si>
    <t>FDLF-CD-130-2023 (83926)</t>
  </si>
  <si>
    <t xml:space="preserve">https://community.secop.gov.co/Public/Tendering/OpportunityDetail/Index?noticeUID=CO1.NTC.4045212&amp;isFromPublicArea=True&amp;isModal=False
</t>
  </si>
  <si>
    <t>APOYARJURÍDICAMENTELAEJECUCIÓNDELASACCIONESREQUERIDASPARAELTRÁMITEEIMPULSOPROCESALDELASACTUACIONESCONTRAVENCIONALESY/OQUERELLASQUECURSENENLASINSPECCIONESDEPOLICÍADELALOCALIDAD</t>
  </si>
  <si>
    <t>JULIO ERNESTO LÓPEZ JIMÉNEZ</t>
  </si>
  <si>
    <t>15-44-101276150</t>
  </si>
  <si>
    <t>FDLF-CPS-131-2023</t>
  </si>
  <si>
    <t>FDLF-CD-131-2023 (87741)</t>
  </si>
  <si>
    <t xml:space="preserve">https://community.secop.gov.co/Public/Tendering/OpportunityDetail/Index?noticeUID=CO1.NTC.4045547&amp;isFromPublicArea=True&amp;isModal=False
</t>
  </si>
  <si>
    <t>PRESTARSERVICIOSPROFESIONALESPARAAPOYARALAALCALDÍALOCALENLAFORMULACIÓN,PLANEACIÓN,PRESENTACIÓNYSEGUIMIENTODELOSPROYECTOSDEINFRAESTRUCTURADELAALCALDÍA</t>
  </si>
  <si>
    <t>CARMEN LILIANA ARRIETA ORTIZ</t>
  </si>
  <si>
    <t>1013-1315</t>
  </si>
  <si>
    <t>33-46-101049105</t>
  </si>
  <si>
    <t>994-1339</t>
  </si>
  <si>
    <t>FDLF-CPS-132-2023</t>
  </si>
  <si>
    <t>FDLF-CD-132-2023 (87883)</t>
  </si>
  <si>
    <t xml:space="preserve">https://community.secop.gov.co/Public/Tendering/OpportunityDetail/Index?noticeUID=CO1.NTC.4045163&amp;isFromPublicArea=True&amp;isModal=False
</t>
  </si>
  <si>
    <t>APOYARTÉCNICAMENTELASDISTINTASETAPASDELOSPROCESOSDECOMPETENCIADELAALCALDÍALOCALPARALADEPURACIÓNDEACTUACIONESADMINISTRATIVAS</t>
  </si>
  <si>
    <t>OSCAR ANDRÉS CAPERA RODRÍGUEZ</t>
  </si>
  <si>
    <t>1033-1335</t>
  </si>
  <si>
    <t>21-46-101064016</t>
  </si>
  <si>
    <t>987-1330</t>
  </si>
  <si>
    <t>21/02/2023-05/10/2023</t>
  </si>
  <si>
    <t>FDLF-CPS-133-2023</t>
  </si>
  <si>
    <t>FDLF-CD-133-2023 (83926)</t>
  </si>
  <si>
    <t xml:space="preserve">https://community.secop.gov.co/Public/Tendering/OpportunityDetail/Index?noticeUID=CO1.NTC.4047249&amp;isFromPublicArea=True&amp;isModal=False
</t>
  </si>
  <si>
    <t>JAVIER GIOVANNY RODRIGUEZ GUERRERO</t>
  </si>
  <si>
    <t>930-1334</t>
  </si>
  <si>
    <t>23/01/2023-02/10/2023</t>
  </si>
  <si>
    <t>BY-100033135</t>
  </si>
  <si>
    <t>991-1331</t>
  </si>
  <si>
    <t>22/02/2023-05/10/2023</t>
  </si>
  <si>
    <t>FDLF-CPS-134-2023</t>
  </si>
  <si>
    <t>FDLF-CD-134-2023 (87596)</t>
  </si>
  <si>
    <t xml:space="preserve">https://community.secop.gov.co/Public/Tendering/OpportunityDetail/Index?noticeUID=CO1.NTC.4046478&amp;isFromPublicArea=True&amp;isModal=False
</t>
  </si>
  <si>
    <t>PRESTARSERVICIOSESPECIALIZADOSPARAAPOYARLAFORMULACIÓN,SEGUIMIENTOYSUPERVISIÓNDELOSPROCESOSCONTRACTUALESDERIVADOSDELPROYECTODEINVERSIÓNNO.1776,ENELMARCODELASNECESIDADESDELAALCALDÍALOCALDEFONTIBÓN</t>
  </si>
  <si>
    <t>SERGIO ELIAS ORTIZ TOBON</t>
  </si>
  <si>
    <t>1008-1333</t>
  </si>
  <si>
    <t>13/02/2023-02/10/2023</t>
  </si>
  <si>
    <t>47-46-101012092</t>
  </si>
  <si>
    <t>995-1335</t>
  </si>
  <si>
    <t>FDLF-CPS-135-2023</t>
  </si>
  <si>
    <t>FDLF-CD-135-2023 (87579)</t>
  </si>
  <si>
    <t xml:space="preserve">https://community.secop.gov.co/Public/Tendering/OpportunityDetail/Index?noticeUID=CO1.NTC.4050860&amp;isFromPublicArea=True&amp;isModal=False
</t>
  </si>
  <si>
    <t>PRESTARSUSSERVICIOSDEAPOYOTÉCNICOSPARALAGESTIÓNPOLICIVAENLOSPROCESOSDELASDIFERENTESACTUACIONESADMINISTRATIVASEXISTENTESYLAIMPLEMENTACIÓNDELOSRESPECTIVOSTRÁMITESDEVERIFICACIÓN,SOPORTEYACOMPAÑAMIENTO</t>
  </si>
  <si>
    <t>CAROLINA HERNANDEZ HERRERA</t>
  </si>
  <si>
    <t>1009-1377</t>
  </si>
  <si>
    <t>13/02/2023-13/10/2023</t>
  </si>
  <si>
    <t>89-547994000007400</t>
  </si>
  <si>
    <t>1016-1371</t>
  </si>
  <si>
    <t>1/03/2023-13/10/2023</t>
  </si>
  <si>
    <t>895 47 994000007474</t>
  </si>
  <si>
    <t>74 DIAS</t>
  </si>
  <si>
    <t>FDLF-CPS-136-2023</t>
  </si>
  <si>
    <t>FDLF-CD-136-2023 (87698)</t>
  </si>
  <si>
    <t xml:space="preserve">https://community.secop.gov.co/Public/Tendering/OpportunityDetail/Index?noticeUID=CO1.NTC.4050977&amp;isFromPublicArea=True&amp;isModal=False
</t>
  </si>
  <si>
    <t>MARIA ELENA PAEZ FETECUA</t>
  </si>
  <si>
    <t>14-46-101089365</t>
  </si>
  <si>
    <t>FDLF-CPS-137-2023</t>
  </si>
  <si>
    <t>FDLF-CD-137-2023 (83926)</t>
  </si>
  <si>
    <t xml:space="preserve">https://community.secop.gov.co/Public/Tendering/OpportunityDetail/Index?noticeUID=CO1.NTC.4052447&amp;isFromPublicArea=True&amp;isModal=False
</t>
  </si>
  <si>
    <t>DAVID MAURICIO AMAYA BORDA</t>
  </si>
  <si>
    <t>14-44-101175782</t>
  </si>
  <si>
    <t>FDLF-CPS-138-2023</t>
  </si>
  <si>
    <t>FDLF-CD-138-2023 (87818)</t>
  </si>
  <si>
    <t xml:space="preserve">https://community.secop.gov.co/Public/Tendering/OpportunityDetail/Index?noticeUID=CO1.NTC.4069672&amp;isFromPublicArea=True&amp;isModal=False
</t>
  </si>
  <si>
    <t>PRESTARSERVICIOSPROFESIONALESPARALAOPERACIÓN,PRESTACIÓN,SEGUIMIENTOYCUMPLIMIENTODELOSPROCEDIMIENTOSADMINISTRATIVOS,OPERATIVOSYPROGRAMÁTICOSDELSERVICIOAPOYOECONÓMICOTIPOC,QUECONTRIBUYANALAGARANTÍADELOSDERECHOSDELAPOBLACIÓNMAYORENELMARCODELAPOLÍTICAPÚBLICASOCIALPARAELENVEJECIMIENTOYLAVEJEZENELDISTRITOCAPITALACARGODELAALCALDÍALOCAL</t>
  </si>
  <si>
    <t xml:space="preserve">MARÍA CAMILA RODRÍGUEZ GRANADOS </t>
  </si>
  <si>
    <t>1053-1316</t>
  </si>
  <si>
    <t>23/02/2023-02/10/2023</t>
  </si>
  <si>
    <t>390-47-994000043560</t>
  </si>
  <si>
    <t>1002-1348</t>
  </si>
  <si>
    <t>24/02/2023-11/10/2023</t>
  </si>
  <si>
    <t>79 DIAS</t>
  </si>
  <si>
    <t>FDLF-CPS-139-2023</t>
  </si>
  <si>
    <t>FDLF-CD-139-2023 (87818)</t>
  </si>
  <si>
    <t xml:space="preserve">https://community.secop.gov.co/Public/Tendering/OpportunityDetail/Index?noticeUID=CO1.NTC.4069866&amp;isFromPublicArea=True&amp;isModal=False
</t>
  </si>
  <si>
    <t>ANA MARÍA AZUERO BRIÑEZ</t>
  </si>
  <si>
    <t>1053-1317</t>
  </si>
  <si>
    <t>14-46-101089727</t>
  </si>
  <si>
    <t>1001-1350</t>
  </si>
  <si>
    <t>FDLF-CPS-140-2023</t>
  </si>
  <si>
    <t>FDLF-CD-140-2023 (87818)</t>
  </si>
  <si>
    <t xml:space="preserve">https://community.secop.gov.co/Public/Tendering/OpportunityDetail/Index?noticeUID=CO1.NTC.4069788&amp;isFromPublicArea=True&amp;isModal=False
</t>
  </si>
  <si>
    <t>EDITH LUCÍA QUECANO CARDENAS</t>
  </si>
  <si>
    <t>1053-1318</t>
  </si>
  <si>
    <t>18-44101087146</t>
  </si>
  <si>
    <t>1004-1351</t>
  </si>
  <si>
    <t>FDLF-CPS-141-2023</t>
  </si>
  <si>
    <t>FDLF-CD-141-2023 (87818)</t>
  </si>
  <si>
    <t xml:space="preserve">https://community.secop.gov.co/Public/Tendering/OpportunityDetail/Index?noticeUID=CO1.NTC.4069871&amp;isFromPublicArea=True&amp;isModal=False
</t>
  </si>
  <si>
    <t>EDNA ROCÍO VELASQUEZ GARCÍA</t>
  </si>
  <si>
    <t>1053-1319</t>
  </si>
  <si>
    <t>25-46-101026286</t>
  </si>
  <si>
    <t>1003-1352</t>
  </si>
  <si>
    <t>FDLF-CPS-142-2023</t>
  </si>
  <si>
    <t>FDLF-CD-142-2023 (87953)3</t>
  </si>
  <si>
    <t xml:space="preserve">https://community.secop.gov.co/Public/Tendering/OpportunityDetail/Index?noticeUID=CO1.NTC.4072222&amp;isFromPublicArea=True&amp;isModal=False
</t>
  </si>
  <si>
    <t>MIGUEL ANDRÉS BEJARANO</t>
  </si>
  <si>
    <t>1062-1320</t>
  </si>
  <si>
    <t>39-44-101147511</t>
  </si>
  <si>
    <t>1009-1355</t>
  </si>
  <si>
    <t>27/02/2023-11/10/2023</t>
  </si>
  <si>
    <t>FDLF-CPS-143-2023</t>
  </si>
  <si>
    <t>FDLF-CD-143-2023 (87904)</t>
  </si>
  <si>
    <t xml:space="preserve">https://community.secop.gov.co/Public/Tendering/OpportunityDetail/Index?noticeUID=CO1.NTC.4069963&amp;isFromPublicArea=True&amp;isModal=False
</t>
  </si>
  <si>
    <t>PRESTARSERVICIOSDEAPOYOOPERATIVOALAALCALDÍALOCALDEFONTIBÓNENELMARCODELPROYECT</t>
  </si>
  <si>
    <t>FABIÁN EDUARDO MONTOYA CADAVID</t>
  </si>
  <si>
    <t>1032-1361</t>
  </si>
  <si>
    <t>17/02/2023-05/10/2023</t>
  </si>
  <si>
    <t>11-46-101034088</t>
  </si>
  <si>
    <t>1008-1391</t>
  </si>
  <si>
    <t>27/02/2023-20/10/2023</t>
  </si>
  <si>
    <t>70 DIAS</t>
  </si>
  <si>
    <t>WILLIAM ESTEBAN RUÍZ BAUTISTA</t>
  </si>
  <si>
    <t>FDLF-CPS-144-2023</t>
  </si>
  <si>
    <t>FDLF-CD-144-2023 (86972)</t>
  </si>
  <si>
    <t xml:space="preserve">https://community.secop.gov.co/Public/Tendering/OpportunityDetail/Index?noticeUID=CO1.NTC.4057471&amp;isFromPublicArea=True&amp;isModal=False
</t>
  </si>
  <si>
    <t>ANDRÉS FELIPE TORRES OLARTE</t>
  </si>
  <si>
    <t>1000-1372</t>
  </si>
  <si>
    <t>3/02/2023-06/10/2023</t>
  </si>
  <si>
    <t>14-46-101089547</t>
  </si>
  <si>
    <t>999-1340</t>
  </si>
  <si>
    <t>FDLF-CPS-145-2023</t>
  </si>
  <si>
    <t>FDLF-CD-145-2023 (87000)</t>
  </si>
  <si>
    <t xml:space="preserve">https://community.secop.gov.co/Public/Tendering/OpportunityDetail/Index?noticeUID=CO1.NTC.4068802&amp;isFromPublicArea=True&amp;isModal=False
</t>
  </si>
  <si>
    <t>JENNY GISELA CUERVO LOPEZ</t>
  </si>
  <si>
    <t>998-1321</t>
  </si>
  <si>
    <t>3/02/2023-02/10/2023</t>
  </si>
  <si>
    <t>36-46-101017295</t>
  </si>
  <si>
    <t>1006-1334</t>
  </si>
  <si>
    <t>24/02/2023-06/10/2023</t>
  </si>
  <si>
    <t>FDLF-CPS-146-2023</t>
  </si>
  <si>
    <t>FDLF-CD-146-2023 (86260)</t>
  </si>
  <si>
    <t>SONIA ESPERANZA SANTOS</t>
  </si>
  <si>
    <t>FDLF-CPS-147-2023</t>
  </si>
  <si>
    <t>FDLF-CD-147-2023 (86991)</t>
  </si>
  <si>
    <t xml:space="preserve">https://community.secop.gov.co/Public/Tendering/OpportunityDetail/Index?noticeUID=CO1.NTC.4070034&amp;isFromPublicArea=True&amp;isModal=False
</t>
  </si>
  <si>
    <t>CRISTIAN CAMILO ÑUSTES SARMIENTO</t>
  </si>
  <si>
    <t>941-1322</t>
  </si>
  <si>
    <t>340-47-994000043564</t>
  </si>
  <si>
    <t>1007-1347</t>
  </si>
  <si>
    <t>FDLF-CPS-148-2023</t>
  </si>
  <si>
    <t>FDLF-CD-148-2023 (87962)</t>
  </si>
  <si>
    <t xml:space="preserve">https://community.secop.gov.co/Public/Tendering/OpportunityDetail/Index?noticeUID=CO1.NTC.4069867&amp;isFromPublicArea=True&amp;isModal=False
</t>
  </si>
  <si>
    <t>PRESTARSERVICIOSPROFESIONALESPARAAPOYARLOSPROYECTOSDEINVERSIÓNORIENTADOSALOSTEMASDEEDUCACIÓN</t>
  </si>
  <si>
    <t>LISDANIA GORDILLO CASTILLO</t>
  </si>
  <si>
    <t>1057-1313</t>
  </si>
  <si>
    <t>21-46-101064594-1</t>
  </si>
  <si>
    <t>1015-1366</t>
  </si>
  <si>
    <t>75 DIAS</t>
  </si>
  <si>
    <t>FDLF-CPS-149-2023</t>
  </si>
  <si>
    <t>FDLF-CD-149-2023 (87962)</t>
  </si>
  <si>
    <t xml:space="preserve">https://community.secop.gov.co/Public/Tendering/OpportunityDetail/Index?noticeUID=CO1.NTC.4069955&amp;isFromPublicArea=True&amp;isModal=False
</t>
  </si>
  <si>
    <t>MONICA MARIA CEDIEL SALAS</t>
  </si>
  <si>
    <t>1057-1314</t>
  </si>
  <si>
    <t>560-47-994000156901</t>
  </si>
  <si>
    <t>1014-1323</t>
  </si>
  <si>
    <t>1/03/2023-04/10/2023</t>
  </si>
  <si>
    <t>FDLF-CPS-150-2023</t>
  </si>
  <si>
    <t>FDLF-CD-150-2023 (87098)</t>
  </si>
  <si>
    <t xml:space="preserve">https://community.secop.gov.co/Public/Tendering/OpportunityDetail/Index?noticeUID=CO1.NTC.4097009&amp;isFromPublicArea=True&amp;isModal=False
</t>
  </si>
  <si>
    <t>APOYARALEQUIPODEPRENSAYCOMUNICACIONESDELAALCALDÍALOCALENLAREALIZACIÓNDEPRODUCTOSYPIEZASDIGITALES,IMPRESASYPUBLICITARIASDEGRANFORMATOYDEANIMACIÓNGRÁFICA,ASÍCOMOAPOYARLAPRODUCCIÓNYMONTAJEDEEVENTOS.</t>
  </si>
  <si>
    <t>MANUEL ENRIQUE RODRÍGUEZ</t>
  </si>
  <si>
    <t>1043-1324</t>
  </si>
  <si>
    <t>20/02/2023-02/10/2023</t>
  </si>
  <si>
    <t>1035-1376</t>
  </si>
  <si>
    <t>2/03/2023-17/10/2023</t>
  </si>
  <si>
    <t>73 DIAS</t>
  </si>
  <si>
    <t>FDLF-CPS-151-2023</t>
  </si>
  <si>
    <t>FDLF-CD-151-2023 (86260)</t>
  </si>
  <si>
    <t>JUAN ANTONIO ESPITIA ACERO</t>
  </si>
  <si>
    <t>FDLF-CPS-152-2023</t>
  </si>
  <si>
    <t>FDLF-CD-152-2023 (83915)</t>
  </si>
  <si>
    <t>https://community.secop.gov.co/Public/Tendering/OpportunityDetail/Index?noticeUID=CO1.NTC.4072286&amp;isFromPublicArea=True&amp;isModal=False</t>
  </si>
  <si>
    <t>CLAUDIA PATRICIA VILLAMIZAR ALCALA</t>
  </si>
  <si>
    <t>966-1348</t>
  </si>
  <si>
    <t>26/01/2023-05/10/2023</t>
  </si>
  <si>
    <t>11-46101033978</t>
  </si>
  <si>
    <t>1005-1349</t>
  </si>
  <si>
    <t>SONIA LORENA MENDOZA BUSTOS</t>
  </si>
  <si>
    <t>21-46-101067639</t>
  </si>
  <si>
    <t>FDLF-CPS-153-2023</t>
  </si>
  <si>
    <t>FDLF-CD-153-2023 (87576)</t>
  </si>
  <si>
    <t>https://community.secop.gov.co/Public/Tendering/OpportunityDetail/Index?noticeUID=CO1.NTC.4073642&amp;isFromPublicArea=True&amp;isModal=False</t>
  </si>
  <si>
    <t>APOYARADMINISTRATIVAYASISTENCIALMENTEALASINSPECCIONESDEPOLICÍADELALOCALIDAD</t>
  </si>
  <si>
    <t>CLAUDIA MILENA RODRIGUEZ ROJAS</t>
  </si>
  <si>
    <t>1010-1371</t>
  </si>
  <si>
    <t>13/02/2023-06/10/2023</t>
  </si>
  <si>
    <t xml:space="preserve">	NB-100249286</t>
  </si>
  <si>
    <t>1013-1342</t>
  </si>
  <si>
    <t>1/03/2023-10/10/2023</t>
  </si>
  <si>
    <t>NB-100249286</t>
  </si>
  <si>
    <t>FDLF-CPS-154-2023</t>
  </si>
  <si>
    <t>FDLF-CD-154-2023 (87507)</t>
  </si>
  <si>
    <t>https://community.secop.gov.co/Public/Tendering/OpportunityDetail/Index?noticeUID=CO1.NTC.4074989&amp;isFromPublicArea=True&amp;isModal=False</t>
  </si>
  <si>
    <t>DIEGO ALEJANDRO PORTILLA UBATE</t>
  </si>
  <si>
    <t xml:space="preserve">	600-47994000067979</t>
  </si>
  <si>
    <t>FDLF-CPS-155-2023</t>
  </si>
  <si>
    <t>FDLF-CD-155-2023 (86256)</t>
  </si>
  <si>
    <t>GUILLERMO ALFONSO BELTRAN VELASCO</t>
  </si>
  <si>
    <t>FDLF-CPS-156-2023</t>
  </si>
  <si>
    <t>FDLF-CD-156-2023 (87947)</t>
  </si>
  <si>
    <t>https://community.secop.gov.co/Public/Tendering/OpportunityDetail/Index?noticeUID=CO1.NTC.4075319&amp;isFromPublicArea=True&amp;isModal=False</t>
  </si>
  <si>
    <t>PRESTACIÓNDESERVICIOSDEAPOYOENLAEJECUCIÓNDEACTIVIDADESCOMORASTRILLEROY/OAYUDANTEDEOBRACIVIL,QUECONLLEVENALMEJORAMIENTOYADECUACIÓNDELESPACIOPÚBLICOYMALLAVIALDELALOCALIDAD</t>
  </si>
  <si>
    <t>JUAN CARLOS RAMÍREZ BELLO</t>
  </si>
  <si>
    <t>1063-1325</t>
  </si>
  <si>
    <t xml:space="preserve">	NB-100249062</t>
  </si>
  <si>
    <t>1027-1365</t>
  </si>
  <si>
    <t>NB-100249062</t>
  </si>
  <si>
    <t>FDLF-CPS-157-2023</t>
  </si>
  <si>
    <t>FDLF-CD-157-2023 (87947)</t>
  </si>
  <si>
    <t>https://community.secop.gov.co/Public/Tendering/OpportunityDetail/Index?noticeUID=CO1.NTC.4075418&amp;isFromPublicArea=True&amp;isModal=False</t>
  </si>
  <si>
    <t>ANA LUCINDA PIZA CABANZO</t>
  </si>
  <si>
    <t>1063-1326</t>
  </si>
  <si>
    <t xml:space="preserve">	21-44-101406896</t>
  </si>
  <si>
    <t>1010-1357</t>
  </si>
  <si>
    <t>28/02/2023-12/10/2023</t>
  </si>
  <si>
    <t>21-44101406896</t>
  </si>
  <si>
    <t>FDLF-CPS-158-2023</t>
  </si>
  <si>
    <t>FDLF-CD-158-2023 (88025)</t>
  </si>
  <si>
    <t>https://community.secop.gov.co/Public/Tendering/OpportunityDetail/Index?noticeUID=CO1.NTC.4084796&amp;isFromPublicArea=True&amp;isModal=False</t>
  </si>
  <si>
    <t>PRESTARSERVICIOSDEAPOYOTÉCNICOALAALCALDÍALOCALDEFONTIBÓNCOMOMONITORDEPORTIVOPARALAFORMACIÓNDELASESCUELASDEPORTIVASDEFONTIBÓN</t>
  </si>
  <si>
    <t>JENNIFER JOHANNA VILLAMIL DIAZ</t>
  </si>
  <si>
    <t>1046-1380</t>
  </si>
  <si>
    <t>22/02/2023-13/10/2023</t>
  </si>
  <si>
    <t>11-46-101034159</t>
  </si>
  <si>
    <t>1019-1370</t>
  </si>
  <si>
    <t>FDLF-CPS-159-2023</t>
  </si>
  <si>
    <t>FDLF-CD-159-2023 (88025)</t>
  </si>
  <si>
    <t>https://community.secop.gov.co/Public/Tendering/OpportunityDetail/Index?noticeUID=CO1.NTC.4085205&amp;isFromPublicArea=True&amp;isModal=False</t>
  </si>
  <si>
    <t>WILLIAM JAVIER REYES RUGELES</t>
  </si>
  <si>
    <t>11-6-101034263</t>
  </si>
  <si>
    <t>12/05/2023-31/10/2023</t>
  </si>
  <si>
    <t>20 DIAS-11 DIAS</t>
  </si>
  <si>
    <t>SUSPENSION</t>
  </si>
  <si>
    <t>FDLF-CPS-160-2023</t>
  </si>
  <si>
    <t>FDLF-CD-160-2023 (87736)</t>
  </si>
  <si>
    <t>https://community.secop.gov.co/Public/Tendering/OpportunityDetail/Index?noticeUID=CO1.NTC.4084986&amp;isFromPublicArea=True&amp;isModal=False</t>
  </si>
  <si>
    <t xml:space="preserve">WILLIAM NIÑO LEAL </t>
  </si>
  <si>
    <t>1052-1346</t>
  </si>
  <si>
    <t>14-44-101176653</t>
  </si>
  <si>
    <t>1018-1380</t>
  </si>
  <si>
    <t>1/03/2023-17/10/2023</t>
  </si>
  <si>
    <t>FDLF-CA-161-2023</t>
  </si>
  <si>
    <t>ARRIENDO</t>
  </si>
  <si>
    <t>FDLF-CD-161-2023 88436)</t>
  </si>
  <si>
    <t xml:space="preserve">https://community.secop.gov.co/Public/Tendering/OpportunityDetail/Index?noticeUID=CO1.NTC.4085482&amp;isFromPublicArea=True&amp;isModal=False
</t>
  </si>
  <si>
    <t>ARRENDAMIENTODEINMUEBLEPARAARCHIVOINSTITUCIONALDELAALCALDÍALOCALDEFONTIBÓNYCOMPLEMENTARIAMENTEPARAPARQUEADERODEVEHÍCULOSDEPROPIEDAD,TENENCIAOCUIDADODELFONDODEDESARROLLOLOCALDEFONTIBÓN</t>
  </si>
  <si>
    <t>INVERSIONES CAOVA S.A.S</t>
  </si>
  <si>
    <t>12 MESES</t>
  </si>
  <si>
    <t>JAIR ANDRÉS ACEVEDO RINCÓN</t>
  </si>
  <si>
    <t>FDLF-CPS-162-2023</t>
  </si>
  <si>
    <t>FDLF-CD-162-2023 (87987)</t>
  </si>
  <si>
    <t xml:space="preserve">https://community.secop.gov.co/Public/Tendering/OpportunityDetail/Index?noticeUID=CO1.NTC.4090267&amp;isFromPublicArea=True&amp;isModal=False
</t>
  </si>
  <si>
    <t>PRESTARSERVICIOSDEAPOYOTÉCNICOALAALCALDÍALOCALDEFONTIBÓNENACTIVIDADESINHERENTESALAPARTICIPACIÓNCIUDADANA</t>
  </si>
  <si>
    <t>1049-1323</t>
  </si>
  <si>
    <t>22/02/2023-02/10/2023</t>
  </si>
  <si>
    <t>11-46-101034165</t>
  </si>
  <si>
    <t>1011-1369</t>
  </si>
  <si>
    <t>FDLF-CPS-163-2023</t>
  </si>
  <si>
    <t>FDLF-CD-163-2023 (88025)</t>
  </si>
  <si>
    <t xml:space="preserve">https://community.secop.gov.co/Public/Tendering/OpportunityDetail/Index?noticeUID=CO1.NTC.4093290&amp;isFromPublicArea=True&amp;isModal=False
</t>
  </si>
  <si>
    <t xml:space="preserve"> JHON ANDERSON SÁNCHEZ FIRACATIVE</t>
  </si>
  <si>
    <t>1046-1379</t>
  </si>
  <si>
    <t>11-46-101034175</t>
  </si>
  <si>
    <t>1021-1368</t>
  </si>
  <si>
    <t>FDLF-CPS-164-2023</t>
  </si>
  <si>
    <t>FDLF-CD-164-2023 (88025)</t>
  </si>
  <si>
    <t xml:space="preserve">https://community.secop.gov.co/Public/Tendering/OpportunityDetail/Index?noticeUID=CO1.NTC.4093062&amp;isFromPublicArea=True&amp;isModal=False
</t>
  </si>
  <si>
    <t>PEDRO PABLO PIÑEROS SALINAS</t>
  </si>
  <si>
    <t>1046-1381</t>
  </si>
  <si>
    <t>22/02/2023-17/10/2023</t>
  </si>
  <si>
    <t>380-47-994000133183</t>
  </si>
  <si>
    <t>1023-1381</t>
  </si>
  <si>
    <t>FDLF-CPS-165-2023</t>
  </si>
  <si>
    <t>FDLF-CD-165-2023 (88025)</t>
  </si>
  <si>
    <t>https://community.secop.gov.co/Public/Tendering/OpportunityDetail/Index?noticeUID=CO1.NTC.4092800&amp;isFromPublicArea=True&amp;isModal=False</t>
  </si>
  <si>
    <t>DORIS ADRIANA RODRIGUEZ FONSECA</t>
  </si>
  <si>
    <t>1046-1382</t>
  </si>
  <si>
    <t>14-46-101090286</t>
  </si>
  <si>
    <t>1039-1383</t>
  </si>
  <si>
    <t>3/03/2023-17/10/2023</t>
  </si>
  <si>
    <t>FDLF-CPS-166-2023</t>
  </si>
  <si>
    <t>FDLF-CD-166-2023 (88175)</t>
  </si>
  <si>
    <t xml:space="preserve">https://community.secop.gov.co/Public/Tendering/OpportunityDetail/Index?noticeUID=CO1.NTC.4099392&amp;isFromPublicArea=True&amp;isModal=False
</t>
  </si>
  <si>
    <t>PRESTARSERVICIOSPROFESIONALESPARAAPOYARALFONDODEDESARROLLOLOCALDEFONTIBONENTODOSLOSTEMASRELACIONADOSCONLAPOBLACIONVICTIMAENELMARCODELPROYECTO1773UNNUEVOCONTRATOPARACONSTRUIRPAZYRECONCILIACIÓNENFONTIBÓN</t>
  </si>
  <si>
    <t>SEBASTIÁN MATEUS RODRIGUEZ</t>
  </si>
  <si>
    <t>1079-1362</t>
  </si>
  <si>
    <t>1/03/2023-05/10/2023</t>
  </si>
  <si>
    <t>14-46-101090278</t>
  </si>
  <si>
    <t>1036-1392</t>
  </si>
  <si>
    <t>3/03/2023-20/10/2023</t>
  </si>
  <si>
    <t>FDLF-CPS-167-2023</t>
  </si>
  <si>
    <t>FDLF-CD-167-2023 (87872)</t>
  </si>
  <si>
    <t xml:space="preserve">https://community.secop.gov.co/Public/Tendering/OpportunityDetail/Index?noticeUID=CO1.NTC.4093303&amp;isFromPublicArea=True&amp;isModal=False
</t>
  </si>
  <si>
    <t>PAULA ANDREA MORENO CASTILLO</t>
  </si>
  <si>
    <t>1037-1327</t>
  </si>
  <si>
    <t>BCH100025588</t>
  </si>
  <si>
    <t>1032-1379</t>
  </si>
  <si>
    <t>BCH-100025588</t>
  </si>
  <si>
    <t>FDLF-CPS-168-2023</t>
  </si>
  <si>
    <t>FDLF-CD-168-2023 (88202)</t>
  </si>
  <si>
    <t xml:space="preserve">https://community.secop.gov.co/Public/Tendering/OpportunityDetail/Index?noticeUID=CO1.NTC.4094148&amp;isFromPublicArea=True&amp;isModal=False
</t>
  </si>
  <si>
    <t>PRESTARSERVICIOSPROFESIONALESPARAACOMPAÑARELSEGUMIENTOTECNICOPSICOSOCIALYLAGESTIÓNTECNICAOPERATIVADELPROGRAMAPARCEROSPORBOGOTADELALOCALIDAD</t>
  </si>
  <si>
    <t>HOSMAN YESID HUERTAS QUIROGA</t>
  </si>
  <si>
    <t>1071-1328</t>
  </si>
  <si>
    <t>27/02/2023-02/10/2023</t>
  </si>
  <si>
    <t>11-46-101034233</t>
  </si>
  <si>
    <t>1038-1353</t>
  </si>
  <si>
    <t>3/03/2023-11/10/2023</t>
  </si>
  <si>
    <t>FDLF-CPS-169-2023</t>
  </si>
  <si>
    <t>FDLF-CD-169-2023 (87659)</t>
  </si>
  <si>
    <t>https://community.secop.gov.co/Public/Tendering/OpportunityDetail/Index?noticeUID=CO1.NTC.4093862&amp;isFromPublicArea=True&amp;isModal=False</t>
  </si>
  <si>
    <t>PRESTARSERVICIOSPROFESIONALESPARAAPOYARALAALCALDÍALOCALDEFONTIBÓNORIENTADOSALCUMPLIMIENTODELASMETASDELPROYECTODEINVERSIÓNNO1770"UNNUEVOCONTRATOPARALOSPARQUESDEFONTIBÓ</t>
  </si>
  <si>
    <t>ALEJANDRA  BERDUGO LOPEZ</t>
  </si>
  <si>
    <t>1022-1329</t>
  </si>
  <si>
    <t>39-44-101147647</t>
  </si>
  <si>
    <t>1024-1367</t>
  </si>
  <si>
    <t>FDLF-CPS-170-2023</t>
  </si>
  <si>
    <t>FDLF-CD-170-2023 (87659)</t>
  </si>
  <si>
    <t xml:space="preserve">https://community.secop.gov.co/Public/Tendering/OpportunityDetail/Index?noticeUID=CO1.NTC.4094117&amp;isFromPublicArea=True&amp;isModal=False
</t>
  </si>
  <si>
    <t>PRESTARSERVICIOSPROFESIONALESPARAAPOYARALAALCALDÍALOCALDEFONTIBÓNORIENTADOSALCUMPLIMIENTODELASMETASDELPROYECTODEINVERSIÓNNO1770"UNNUEVOCONTRATOPARALOSPARQUESDEFONTIBÓN</t>
  </si>
  <si>
    <t>JUAN SEBASTIAN RAMIREZ GARCIA</t>
  </si>
  <si>
    <t>1022-1330</t>
  </si>
  <si>
    <t>14-44-101176564</t>
  </si>
  <si>
    <t>1025-1362</t>
  </si>
  <si>
    <t>FDLF-CPS-171-2023</t>
  </si>
  <si>
    <t>FDLF-CD-171-2023 (88025)</t>
  </si>
  <si>
    <t xml:space="preserve">https://community.secop.gov.co/Public/Tendering/OpportunityDetail/Index?noticeUID=CO1.NTC.4093309&amp;isFromPublicArea=True&amp;isModal=False
</t>
  </si>
  <si>
    <t>FREDDY ALEJANDRO ROJAS GONZALEZ</t>
  </si>
  <si>
    <t>1046-1383</t>
  </si>
  <si>
    <t>11-46-101030156</t>
  </si>
  <si>
    <t>1026-1382</t>
  </si>
  <si>
    <t>11-46-101034181</t>
  </si>
  <si>
    <t>FDLF-CPS-172-2023</t>
  </si>
  <si>
    <t>FDLF-CD-172-2023 (88025)</t>
  </si>
  <si>
    <t xml:space="preserve">https://community.secop.gov.co/Public/Tendering/OpportunityDetail/Index?noticeUID=CO1.NTC.4093085&amp;isFromPublicArea=True&amp;isModal=False
</t>
  </si>
  <si>
    <t>ÁNGEL DE JESÚS CASTRO ROA</t>
  </si>
  <si>
    <t>1046-1384</t>
  </si>
  <si>
    <t>11-46-101034182</t>
  </si>
  <si>
    <t>1044-1393</t>
  </si>
  <si>
    <t>6/03/2023-20/10/2023</t>
  </si>
  <si>
    <t>FDLF-CPS-173-2023</t>
  </si>
  <si>
    <t>FDLF-CD-173-2023 (88126)</t>
  </si>
  <si>
    <t xml:space="preserve">https://community.secop.gov.co/Public/Tendering/OpportunityDetail/Index?noticeUID=CO1.NTC.4093221&amp;isFromPublicArea=True&amp;isModal=False
</t>
  </si>
  <si>
    <t>PRESTARSERVICIOSPROFESIONALESPARAAPOYARLAGESTIÓNDEPROCESOS,PROCEDIMIENTOSYTRÁMITESDECARÁCTERPRESUPUESTAL.</t>
  </si>
  <si>
    <t>OSCAR GIOVANNY CONTRERAS NOVOA</t>
  </si>
  <si>
    <t>1073-1344</t>
  </si>
  <si>
    <t>28/02/2023-05/10/2023</t>
  </si>
  <si>
    <t>14-46-101090089</t>
  </si>
  <si>
    <t>1020-1363</t>
  </si>
  <si>
    <t>FDLF-CPS-174-2023</t>
  </si>
  <si>
    <t>FDLF-CD-174-2023 (87789)</t>
  </si>
  <si>
    <t xml:space="preserve">https://community.secop.gov.co/Public/Tendering/OpportunityDetail/Index?noticeUID=CO1.NTC.4093414&amp;isFromPublicArea=True&amp;isModal=False
</t>
  </si>
  <si>
    <t>MARLOM EDISON GONZALEZ SILVA</t>
  </si>
  <si>
    <t>1044-1351</t>
  </si>
  <si>
    <t>33-46-101049387</t>
  </si>
  <si>
    <t>1022-1344</t>
  </si>
  <si>
    <t>FDLF-CPS-175-2023</t>
  </si>
  <si>
    <t>FDLF-CD-175-2023 (87872)</t>
  </si>
  <si>
    <t xml:space="preserve">https://community.secop.gov.co/Public/Tendering/OpportunityDetail/Index?noticeUID=CO1.NTC.4093704&amp;isFromPublicArea=True&amp;isModal=False
</t>
  </si>
  <si>
    <t>LUISA FERNANDA AMAYA PINZON</t>
  </si>
  <si>
    <t xml:space="preserve"> BCH-100025579</t>
  </si>
  <si>
    <t>FDLF-CPS-176-2023</t>
  </si>
  <si>
    <t>FDLF-CD-176-2023 (87761)</t>
  </si>
  <si>
    <t xml:space="preserve">https://community.secop.gov.co/Public/Tendering/OpportunityDetail/Index?noticeUID=CO1.NTC.4094023&amp;isFromPublicArea=True&amp;isModal=False
</t>
  </si>
  <si>
    <t>TANIA MURCIA CARDOZO</t>
  </si>
  <si>
    <t>1039-1354</t>
  </si>
  <si>
    <t>33-44-101236271</t>
  </si>
  <si>
    <t>1028-1359</t>
  </si>
  <si>
    <t>1/03/2023-12/10/2023</t>
  </si>
  <si>
    <t>GINETH NATALIA ÁNGEL RODRÍGUEZ</t>
  </si>
  <si>
    <t>21-46-101069524</t>
  </si>
  <si>
    <t>69 DIAS</t>
  </si>
  <si>
    <t>FDLF-CPS-177-2023</t>
  </si>
  <si>
    <t>FDLF-CD-177-2023 (87576)</t>
  </si>
  <si>
    <t xml:space="preserve">https://community.secop.gov.co/Public/Tendering/OpportunityDetail/Index?noticeUID=CO1.NTC.4122399&amp;isFromPublicArea=True&amp;isModal=False
</t>
  </si>
  <si>
    <t>APOYARADMINISTRATIVAYASISTENCIALMENTEALASINSPECCIONESDEPOLICÍADELALOCALIDAD.DEACUERDOCONLOCONTEMPLADOENEL(LOS)PROYECTO(S)1784UNNUEVOCONTRATOPARAACCIONESDEINSPECCIÓN,VIGILANCIAYCONTROLENFONTIBÓN</t>
  </si>
  <si>
    <t>PAOLA ANDREA MOYANO PINZON</t>
  </si>
  <si>
    <t>1010-1363</t>
  </si>
  <si>
    <t>13/02/2023-05/10/2023</t>
  </si>
  <si>
    <t xml:space="preserve"> 21-46-101065317</t>
  </si>
  <si>
    <t>1048-1374</t>
  </si>
  <si>
    <t>7/03/2023-17/10/2023</t>
  </si>
  <si>
    <t>21-46101065317</t>
  </si>
  <si>
    <t>FDLF-CPS-178-2023</t>
  </si>
  <si>
    <t>FDLF-CD-178-2023 (87986)</t>
  </si>
  <si>
    <t xml:space="preserve">https://community.secop.gov.co/Public/Tendering/OpportunityDetail/Index?noticeUID=CO1.NTC.4099701&amp;isFromPublicArea=True&amp;isModal=False
</t>
  </si>
  <si>
    <t>PRESTARLOSSERVICIOSDEMOTORIZADOPARAAPOYARLASLABORESDEENTREGAYRECIBODELASCOMUNICACIONESEMITIDASORECIBIDASPORLAALCALDÍALOCALDEFONTIBÓN</t>
  </si>
  <si>
    <t>SABAS CRUZ ORTIZ</t>
  </si>
  <si>
    <t>1050-1355</t>
  </si>
  <si>
    <t>11-46101034333</t>
  </si>
  <si>
    <t>1043-1394</t>
  </si>
  <si>
    <t>11-46-101034333</t>
  </si>
  <si>
    <t>FDLF-CPS-179-2023</t>
  </si>
  <si>
    <t>FDLF-CD-179-2023 (87098)</t>
  </si>
  <si>
    <t xml:space="preserve">https://community.secop.gov.co/Public/Tendering/OpportunityDetail/Index?noticeUID=CO1.NTC.4099718&amp;isFromPublicArea=True&amp;isModal=False
</t>
  </si>
  <si>
    <t>APOYARALEQUIPODEPRENSAYCOMUNICACIONESDELAALCALDÍALOCALENLAREALIZACIÓNDEPRODUCTOSYPIEZASDIGITALES,IMPRESASYPUBLICITARIASDEGRANFORMATOYDEANIMACIÓNGRÁFICA,ASÍCOMOAPOYARLAPRODUCCIÓNYMONTAJEDEEVENTOS</t>
  </si>
  <si>
    <t>JOSÉ NICOLÁS PARRA MORALES</t>
  </si>
  <si>
    <t>1043-1331</t>
  </si>
  <si>
    <t xml:space="preserve"> 14-46-101090249</t>
  </si>
  <si>
    <t>1034-1354</t>
  </si>
  <si>
    <t>2/03/2023-11/10/2023</t>
  </si>
  <si>
    <t>14-46-101090249</t>
  </si>
  <si>
    <t>FDLF-CPS-180-2023</t>
  </si>
  <si>
    <t>FDLF-CD-180-2023 87904)</t>
  </si>
  <si>
    <t>https://community.secop.gov.co/Public/Tendering/OpportunityDetail/Index?noticeUID=CO1.NTC.4099632&amp;isFromPublicArea=True&amp;isModal=F</t>
  </si>
  <si>
    <t>PRESTARSERVICIOSDEAPOYOOPERATIVOALAALCALDÍALOCALDEFONTIBÓNENELMARCODELPROYECTODEINVERSIÒNNO1772</t>
  </si>
  <si>
    <t>YECIKA SERRATO GONZÁLEZ</t>
  </si>
  <si>
    <t>1032-1360</t>
  </si>
  <si>
    <t>14-46-101090349</t>
  </si>
  <si>
    <t>1033-1358</t>
  </si>
  <si>
    <t>2/03/2023-12/10/2023</t>
  </si>
  <si>
    <t>FDLF-CPS-181-2023</t>
  </si>
  <si>
    <t>FDLF-CD-181-2023 (88168)</t>
  </si>
  <si>
    <t>https://community.secop.gov.co/Public/Tendering/OpportunityDetail/Index?noticeUID=CO1.NTC.4097850&amp;isFromPublicArea=True&amp;isModal=False</t>
  </si>
  <si>
    <t>MARIA PAULA GOMEZ CUEVAS</t>
  </si>
  <si>
    <t>1072-1364</t>
  </si>
  <si>
    <t>27/02/2023-05/10/2023</t>
  </si>
  <si>
    <t>14-46-101090257</t>
  </si>
  <si>
    <t>1041-1360</t>
  </si>
  <si>
    <t>3/03/2023-12/10/2023</t>
  </si>
  <si>
    <t>FDLF-CPS-182-2023</t>
  </si>
  <si>
    <t>FDLF-CD-182-2023 (87834)</t>
  </si>
  <si>
    <t>https://community.secop.gov.co/Public/Tendering/OpportunityDetail/Index?noticeUID=CO1.NTC.4102779&amp;isFromPublicArea=True&amp;isModal=False</t>
  </si>
  <si>
    <t>PRESTARSERVICIOSPROFESIONALESPARAAPOYARELSEGUIMIENTOTÉCNICOYOPERATIVODELOSPROYECTOSDEINVERSIÓNRELACIONADOSCONTEMASDEREACTIVACIÓNECONÓMICA,ENELMARCODELASNECESIDADESDELAALCALDÍADEFONTIBÓN</t>
  </si>
  <si>
    <t>1076-1312</t>
  </si>
  <si>
    <t>28/02/2023-02/10/2023</t>
  </si>
  <si>
    <t xml:space="preserve"> 14-46-101090355</t>
  </si>
  <si>
    <t>7 MESES</t>
  </si>
  <si>
    <t>1045-1329</t>
  </si>
  <si>
    <t>6/03/2023-05/10/2023</t>
  </si>
  <si>
    <t>14-46-101090355</t>
  </si>
  <si>
    <t>FDLF-CPS-183-2023</t>
  </si>
  <si>
    <t>FDLF-CD-183-2023 (87738)</t>
  </si>
  <si>
    <t>https://community.secop.gov.co/Public/Tendering/OpportunityDetail/Index?noticeUID=CO1.NTC.4101145&amp;isFromPublicArea=True&amp;isModal=true&amp;asPopupView=true</t>
  </si>
  <si>
    <t>ALISON CAROLAY OVALLE FORERO</t>
  </si>
  <si>
    <t xml:space="preserve"> 3581308-6</t>
  </si>
  <si>
    <t>FDLF-CPS-184-2023</t>
  </si>
  <si>
    <t>FDLF-CD-184-2023 (87883)</t>
  </si>
  <si>
    <t>https://community.secop.gov.co/Public/Tendering/OpportunityDetail/Index?noticeUID=CO1.NTC.4101329&amp;isFromPublicArea=True&amp;isModal=true&amp;asPopupView=true</t>
  </si>
  <si>
    <t>DIEGO ALEJANDRO HERNÁNDEZ BOCANEGRA</t>
  </si>
  <si>
    <t>1033-1349</t>
  </si>
  <si>
    <t>21-46-101065031</t>
  </si>
  <si>
    <t>1031-1372</t>
  </si>
  <si>
    <t>FDLF-CPS-185-2023</t>
  </si>
  <si>
    <t>FDLF-CD-185-2023 (87878)</t>
  </si>
  <si>
    <t>https://community.secop.gov.co/Public/Tendering/OpportunityDetail/Index?noticeUID=CO1.NTC.4105084&amp;isFromPublicArea=True&amp;isModal=true&amp;asPopupView=true</t>
  </si>
  <si>
    <t>PRESTARSERVICIOSDEAPOYOCOMOAUXILIARADMINISTRATIVOYOPERATIVOPARAELPROYECTODEINVERSIÓNNO1761</t>
  </si>
  <si>
    <t>SANTIAGO VILLEGAS TORRES</t>
  </si>
  <si>
    <t>1036-1365</t>
  </si>
  <si>
    <t>14-46-101090379</t>
  </si>
  <si>
    <t>1037-1361</t>
  </si>
  <si>
    <t>FDLF-CPS-186-2023</t>
  </si>
  <si>
    <t>FDLF-CD-186-2023 (88265)</t>
  </si>
  <si>
    <t>https://community.secop.gov.co/Public/Tendering/OpportunityDetail/Index?noticeUID=CO1.NTC.4126748&amp;isFromPublicArea=True&amp;isModal=true&amp;asPopupView=true</t>
  </si>
  <si>
    <t>DIEGO ARMANDO BALLESTEROS RIOS</t>
  </si>
  <si>
    <t>1067-1394</t>
  </si>
  <si>
    <t>27/02/2023-23/10/2023</t>
  </si>
  <si>
    <t xml:space="preserve"> 380-47-994000133334</t>
  </si>
  <si>
    <t>1051-1399</t>
  </si>
  <si>
    <t>8/03/2023-23/10/2023</t>
  </si>
  <si>
    <t>CARMENZA CAROLINA COTES ROBAYO</t>
  </si>
  <si>
    <t>380 47 994000133334</t>
  </si>
  <si>
    <t>67 DIAS</t>
  </si>
  <si>
    <t>FDLF-CPS-187-2023</t>
  </si>
  <si>
    <t>FDLF-CD-187-2023 (87575)</t>
  </si>
  <si>
    <t>https://community.secop.gov.co/Public/Tendering/OpportunityDetail/Index?noticeUID=CO1.NTC.4126842&amp;isFromPublicArea=True&amp;isModal=true&amp;asPopupView=true</t>
  </si>
  <si>
    <t>APOYARLAFORMULACIÓN,EJECUCIÓN,SEGUIMIENTOYMEJORACONTINUADELASHERRAMIENTASQUECONFORMANLAGESTIÓNAMBIENTALINSTITUCIONALDELAALCALDÍALOCAL</t>
  </si>
  <si>
    <t xml:space="preserve">NICOLAS BONNETT GOMEZ </t>
  </si>
  <si>
    <t>1042-1356</t>
  </si>
  <si>
    <t>33-46-101049606</t>
  </si>
  <si>
    <t>1049-1375</t>
  </si>
  <si>
    <t>8/03/2023-17/10/2023</t>
  </si>
  <si>
    <t>68 DIAS</t>
  </si>
  <si>
    <t>FDLF-CPS-188-2023</t>
  </si>
  <si>
    <t>FDLF-CD-188-2023 (87574 )</t>
  </si>
  <si>
    <t>https://community.secop.gov.co/Public/Tendering/OpportunityDetail/Index?noticeUID=CO1.NTC.4126836&amp;isFromPublicArea=True&amp;isModal=true&amp;asPopupView=true</t>
  </si>
  <si>
    <t>PRESTARSERVICIOSPROFESIONALESYDEAPOYOENSOPORTEDERED,ASICOMOLOCONCERNIENTEALASPLATAFORMASTECNOLOGÍCASYDEINFORMACIÓNDELAALCALDÍALOCAL</t>
  </si>
  <si>
    <t xml:space="preserve">MARCO AURELIO CUMBE ANDRADE  </t>
  </si>
  <si>
    <t>1064-1357</t>
  </si>
  <si>
    <t>24/02/2023-05/10/2023</t>
  </si>
  <si>
    <t>380-47-994000133327</t>
  </si>
  <si>
    <t>1050-1377</t>
  </si>
  <si>
    <t>380 47 994000133327</t>
  </si>
  <si>
    <t>FDLF-CPS-189-2023</t>
  </si>
  <si>
    <t>FDLF-CD-189-2023 (88021)</t>
  </si>
  <si>
    <t>https://community.secop.gov.co/Public/Tendering/OpportunityDetail/Index?noticeUID=CO1.NTC.4126917&amp;isFromPublicArea=True&amp;isModal=true&amp;asPopupView=true</t>
  </si>
  <si>
    <t>PRESTARSERVICIOSDEAPOYOALAALCALDÍALOCALDEFONTIBÓNCOMOMONITORDEPORTIVOPARALAFORMACIÓNDELASESCUELASDEPORTIVASDEFONTIBÓN</t>
  </si>
  <si>
    <t>HELBERT ANDRÉS SALAMANCA BARRANTES</t>
  </si>
  <si>
    <t>1047-1385</t>
  </si>
  <si>
    <t>11-46-101034533</t>
  </si>
  <si>
    <t>1055-1386</t>
  </si>
  <si>
    <t>8/03/2023-18/10/2023</t>
  </si>
  <si>
    <t>66 DIAS</t>
  </si>
  <si>
    <t>FDLF-CPS-190-2023</t>
  </si>
  <si>
    <t>FDLF-CD-190-2023 (88021)</t>
  </si>
  <si>
    <t>https://community.secop.gov.co/Public/Tendering/OpportunityDetail/Index?noticeUID=CO1.NTC.4126912&amp;isFromPublicArea=True&amp;isModal=true&amp;asPopupView=true</t>
  </si>
  <si>
    <t>JHON ALEXANDER CASTAÑO VERA</t>
  </si>
  <si>
    <t>1047-1386</t>
  </si>
  <si>
    <t xml:space="preserve"> 11-46-101034500</t>
  </si>
  <si>
    <t>1056-1397</t>
  </si>
  <si>
    <t>11-46-101034500</t>
  </si>
  <si>
    <t>FDLF-CPS-191-2023</t>
  </si>
  <si>
    <t>FDLF-CD-191-2023 (88031)</t>
  </si>
  <si>
    <t>https://community.secop.gov.co/Public/Tendering/OpportunityDetail/Index?noticeUID=CO1.NTC.4126733&amp;isFromPublicArea=True&amp;isModal=true&amp;asPopupView=true</t>
  </si>
  <si>
    <t>11-46-101034488</t>
  </si>
  <si>
    <t>FDLF-CPS-192-2023</t>
  </si>
  <si>
    <t>FDLF-CD-192-2023 (87579)</t>
  </si>
  <si>
    <t>https://community.secop.gov.co/Public/Tendering/OpportunityDetail/Index?noticeUID=CO1.NTC.4126908&amp;isFromPublicArea=True&amp;isModal=true&amp;asPopupView=true</t>
  </si>
  <si>
    <t>ADRIANA MARIA MORENO BEJARANO</t>
  </si>
  <si>
    <t>1009-1366</t>
  </si>
  <si>
    <t>1-46-101065478</t>
  </si>
  <si>
    <t>1060-1343</t>
  </si>
  <si>
    <t>9/03/2023-10/10/2023</t>
  </si>
  <si>
    <t>21-46-101065478</t>
  </si>
  <si>
    <t>FDLF-CPS-193-2023</t>
  </si>
  <si>
    <t>FDLF-CD-193-2023 (88104)</t>
  </si>
  <si>
    <t>https://community.secop.gov.co/Public/Tendering/OpportunityDetail/Index?noticeUID=CO1.NTC.4132523&amp;isFromPublicArea=True&amp;isModal=true&amp;asPopupView=true</t>
  </si>
  <si>
    <t>LINA MARÍA ACOSTA ROJAS</t>
  </si>
  <si>
    <t>1084-1358</t>
  </si>
  <si>
    <t>4/03/2023-05/10/2023</t>
  </si>
  <si>
    <t>11-44101199203</t>
  </si>
  <si>
    <t>1054-1398</t>
  </si>
  <si>
    <t>FDLF-CPS-194-2023</t>
  </si>
  <si>
    <t>FDLF-CD-194-2023 (88056)</t>
  </si>
  <si>
    <t>https://community.secop.gov.co/Public/Tendering/OpportunityDetail/Index?noticeUID=CO1.NTC.4132519&amp;isFromPublicArea=True&amp;isModal=true&amp;asPopupView=true</t>
  </si>
  <si>
    <t xml:space="preserve">GISELA LILIANA TORRES CHARRY </t>
  </si>
  <si>
    <t>1086-1353</t>
  </si>
  <si>
    <t xml:space="preserve"> 14-46-101090666</t>
  </si>
  <si>
    <t>1067-1403</t>
  </si>
  <si>
    <t>13/03/2023-26/10/2023</t>
  </si>
  <si>
    <t>14-46-101090666</t>
  </si>
  <si>
    <t>63 DIAS</t>
  </si>
  <si>
    <t>FDLF-CPS-195-2023</t>
  </si>
  <si>
    <t>FDLF-CD-195-2023 (88163)</t>
  </si>
  <si>
    <t>https://community.secop.gov.co/Public/Tendering/OpportunityDetail/Index?noticeUID=CO1.NTC.4132297&amp;isFromPublicArea=True&amp;isModal=true&amp;asPopupView=true</t>
  </si>
  <si>
    <t>GINETH NATALIA ÁNGEL RODRIGUEZ</t>
  </si>
  <si>
    <t>21-46-101065450</t>
  </si>
  <si>
    <t>WENDY JOHANA HERNANDEZ LEON</t>
  </si>
  <si>
    <t>21-46-101068925</t>
  </si>
  <si>
    <t>CEDIDO-TERMINACION ANTICIPADA</t>
  </si>
  <si>
    <t>FDLF-CPS-196-2023</t>
  </si>
  <si>
    <t>FDLF-CD-196-2023 (87609)</t>
  </si>
  <si>
    <t>https://community.secop.gov.co/Public/Tendering/OpportunityDetail/Index?noticeUID=CO1.NTC.4132292&amp;isFromPublicArea=True&amp;isModal=true&amp;asPopupView=true</t>
  </si>
  <si>
    <t>LUIS GERARDO VÁSQUEZ CAMPO</t>
  </si>
  <si>
    <t xml:space="preserve"> 16-46-101090860</t>
  </si>
  <si>
    <t>FDLF-CPS-197-2023</t>
  </si>
  <si>
    <t>FDLF-CD-197-2023 (87682)</t>
  </si>
  <si>
    <t>https://community.secop.gov.co/Public/Tendering/OpportunityDetail/Index?noticeUID=CO1.NTC.4139260&amp;isFromPublicArea=True&amp;isModal=true&amp;asPopupView=true</t>
  </si>
  <si>
    <t>PRESTARSERVICIOSTÉCNICOSPARAELAPOYOADMINISTRATIVOALASACTIVIDADESCORRESPONDIENTESATEMASDEMALLAVIAL,OBRAS,ESPACIOPÚBLICOEINFRAESTRUCTURAPARALAALCALDÍALOCALDEFONTIBÓN</t>
  </si>
  <si>
    <t>MARIA JOHANA LOPEZ ULCUE</t>
  </si>
  <si>
    <t>1041-1368</t>
  </si>
  <si>
    <t>14-44101177345</t>
  </si>
  <si>
    <t>1061-1345</t>
  </si>
  <si>
    <t>10/03/2023-10/10/2023</t>
  </si>
  <si>
    <t>14-44-101177345</t>
  </si>
  <si>
    <t>FDLF-CPS-198-2023</t>
  </si>
  <si>
    <t>FDLF-CD-198-2023 (88131)</t>
  </si>
  <si>
    <t>ADRIANA ARDILA SANTANA</t>
  </si>
  <si>
    <t>FDLF-CPS-199-2023</t>
  </si>
  <si>
    <t>FDLF-CD-199-2023 (87507)</t>
  </si>
  <si>
    <t>https://community.secop.gov.co/Public/Tendering/OpportunityDetail/Index?noticeUID=CO1.NTC.4142503&amp;isFromPublicArea=True&amp;isModal=true&amp;asPopupView=true</t>
  </si>
  <si>
    <t>EDWIN FERNANDO PEREZ CASTILLO</t>
  </si>
  <si>
    <t>340 47 994000044172</t>
  </si>
  <si>
    <t>FDLF-CPS-200-2023</t>
  </si>
  <si>
    <t>FDLF-CD-200-2023 (88623)</t>
  </si>
  <si>
    <t>https://community.secop.gov.co/Public/Tendering/OpportunityDetail/Index?noticeUID=CO1.NTC.4142095&amp;isFromPublicArea=True&amp;isModal=true&amp;asPopupView=true</t>
  </si>
  <si>
    <t xml:space="preserve">LEONARDO OROZCO MARTINEZ, </t>
  </si>
  <si>
    <t>14-46-101090783</t>
  </si>
  <si>
    <t>FDLF-CPS-201-2023</t>
  </si>
  <si>
    <t>FDLF-CD-201-2023 (87882)</t>
  </si>
  <si>
    <t>https://community.secop.gov.co/Public/Tendering/OpportunityDetail/Index?noticeUID=CO1.NTC.4145269&amp;isFromPublicArea=True&amp;isModal=true&amp;asPopupView=true</t>
  </si>
  <si>
    <t>PRESTARSERVICIOSPROFESIONALESPARAAPOYARLAGESTIÓNDEPROCESOS,PROCEDIMIENTOSYTRÁMITESDECARÁCTERPRESUPUESTAL</t>
  </si>
  <si>
    <t>TERESA DE JESUS HEREDIA CAMELO</t>
  </si>
  <si>
    <t>1034-1370</t>
  </si>
  <si>
    <t xml:space="preserve"> 14-44-101177471</t>
  </si>
  <si>
    <t>1069-1405</t>
  </si>
  <si>
    <t>13/03/2023-27/10/2023</t>
  </si>
  <si>
    <t>14-44-101177471</t>
  </si>
  <si>
    <t>62 DIAS</t>
  </si>
  <si>
    <t>FDLF-CPS-202-2023</t>
  </si>
  <si>
    <t>FDLF-CD-202-2023 (88446)</t>
  </si>
  <si>
    <t>https://community.secop.gov.co/Public/Tendering/OpportunityDetail/Index?noticeUID=CO1.NTC.4142098&amp;isFromPublicArea=True&amp;isModal=true&amp;asPopupView=true</t>
  </si>
  <si>
    <t>PRESTARSERVICIOSTÉCNICOSPARABRINDARAPOYOENELTRÁMITEYDESARROLLODELOSDESPACHOSCOMISORIOSQUEPORCOMPETENCIACORRESPONDENALAALCALDÍALOCALDEFONTIBÓN</t>
  </si>
  <si>
    <t>DANIELA ALEJANDRA DIAZ FRANCO</t>
  </si>
  <si>
    <t>1091-1367</t>
  </si>
  <si>
    <t>7/03/2023-05/10/2023</t>
  </si>
  <si>
    <t xml:space="preserve"> 14-46-101090875</t>
  </si>
  <si>
    <t>1091-1346</t>
  </si>
  <si>
    <t>14-46-101090875</t>
  </si>
  <si>
    <t>FDLF-CPS-203-2023</t>
  </si>
  <si>
    <t>FDLF-CD-203-2023 (87921)</t>
  </si>
  <si>
    <t>https://community.secop.gov.co/Public/Tendering/OpportunityDetail/Index?noticeUID=CO1.NTC.4142239&amp;isFromPublicArea=True&amp;isModal=true&amp;asPopupView=true</t>
  </si>
  <si>
    <t>JOHN EDWARD GOMEZ CASTILLO</t>
  </si>
  <si>
    <t>21-46-101065635</t>
  </si>
  <si>
    <t>FDLF-CPS-204-2023</t>
  </si>
  <si>
    <t>FDLF-CD-204-2023 (88131)</t>
  </si>
  <si>
    <t>https://community.secop.gov.co/Public/Tendering/OpportunityDetail/Index?noticeUID=CO1.NTC.4144626&amp;isFromPublicArea=True&amp;isModal=true&amp;asPopupView=true</t>
  </si>
  <si>
    <t>PRESTARLOSSERVICIOSCOMOAPOYOTECNICOALAALCALDÍALOCALDEFONTIBÓN,PARAREALIZARELCONTROL,SEGUIMIENTO,ACTUALIZACIÓNYANÁLISISDELBANCODEPROGRAMASYPROYECTOS,ASÍCOMOTAMBIÉNLOSINSTRUMENTOSDELAPLANEACIÓN.</t>
  </si>
  <si>
    <t>JENY PAOLA PINZON SANCHEZ</t>
  </si>
  <si>
    <t>21-46-101065621</t>
  </si>
  <si>
    <t>FDLF-CPS-205-2023</t>
  </si>
  <si>
    <t>FDLF-CD-205-2023 (88025)</t>
  </si>
  <si>
    <t>https://community.secop.gov.co/Public/Tendering/OpportunityDetail/Index?noticeUID=CO1.NTC.4144583&amp;isFromPublicArea=True&amp;isModal=true&amp;asPopupView=true</t>
  </si>
  <si>
    <t>JUNIOR ALFONSO HURTADO</t>
  </si>
  <si>
    <t>1046-1387</t>
  </si>
  <si>
    <t>14-46101090924</t>
  </si>
  <si>
    <t>1066-1404</t>
  </si>
  <si>
    <t>14-46-101090924</t>
  </si>
  <si>
    <t>FDLF-CPS-206-2023</t>
  </si>
  <si>
    <t>FDLF-CD-206-2023 88632)</t>
  </si>
  <si>
    <t>https://community.secop.gov.co/Public/Tendering/OpportunityDetail/Index?noticeUID=CO1.NTC.4149441&amp;isFromPublicArea=True&amp;isModal=true&amp;asPopupView=true</t>
  </si>
  <si>
    <t>PRESTARSERVICIOSDEAPOYOCOMOAUXILIARADMINISTRATIVOYOPERATIVOENELMARCODELPROYECTODEINVERSIÓNNO1761</t>
  </si>
  <si>
    <t>CAMILO ANDRÉS DIAZ RENDÓN</t>
  </si>
  <si>
    <t>14-46-101090933</t>
  </si>
  <si>
    <t>FDLF-CPS-207-2023</t>
  </si>
  <si>
    <t>FDLF-CD-207-2023 (87607)</t>
  </si>
  <si>
    <t>https://community.secop.gov.co/Public/Tendering/OpportunityDetail/Index?noticeUID=CO1.NTC.4151287&amp;isFromPublicArea=True&amp;isModal=true&amp;asPopupView=true</t>
  </si>
  <si>
    <t>MARIA ESTEFANNY SERNA VILLEGAS</t>
  </si>
  <si>
    <t>14-46-101090927</t>
  </si>
  <si>
    <t>FDLF-CPS-208-2023</t>
  </si>
  <si>
    <t>FDLF-CD-208-2023 (88021)</t>
  </si>
  <si>
    <t>https://community.secop.gov.co/Public/Tendering/OpportunityDetail/Index?noticeUID=CO1.NTC.4154680&amp;isFromPublicArea=True&amp;isModal=true&amp;asPopupView=true</t>
  </si>
  <si>
    <t>CRISTIAN ALEJANDRO JIMENEZ CELIS</t>
  </si>
  <si>
    <t>1047-1388</t>
  </si>
  <si>
    <t>11-46-101034679</t>
  </si>
  <si>
    <t>1071-1401</t>
  </si>
  <si>
    <t>14/03/2023-24/10/2023</t>
  </si>
  <si>
    <t>61 DIAS</t>
  </si>
  <si>
    <t>FDLF-CPS-209-2023</t>
  </si>
  <si>
    <t>FDLF-CD-209-2023 (88631)</t>
  </si>
  <si>
    <t>DANIEL BERNARDO CAMELO BOLIVAR</t>
  </si>
  <si>
    <t>FDLF-CPS-210-2023</t>
  </si>
  <si>
    <t>FDLF-CD-210-2023 (88554)</t>
  </si>
  <si>
    <t>https://community.secop.gov.co/Public/Tendering/OpportunityDetail/Index?noticeUID=CO1.NTC.4155034&amp;isFromPublicArea=True&amp;isModal=true&amp;asPopupView=true</t>
  </si>
  <si>
    <t>PRESTARLOSSERVICIOSDEAPOYOASISTENCIALPARALAATENCIÓN,RECEPCIÓNYTRÁMITEDELOSDOCUMENTOSYCORRESPONDENCIADEACUERDOALOSAPLICATIVOSENGENERALYLOESTABLECIDOPORLASECRETARÍADISTRITALDEGOBIERNO</t>
  </si>
  <si>
    <t xml:space="preserve">SONIA ESPERANZA SANTOS </t>
  </si>
  <si>
    <t xml:space="preserve"> 62-46-101005243</t>
  </si>
  <si>
    <t>FDLF-CPS-211-2023</t>
  </si>
  <si>
    <t>FDLF-CD-211-2023 (88554)</t>
  </si>
  <si>
    <t>https://community.secop.gov.co/Public/Tendering/OpportunityDetail/Index?noticeUID=CO1.NTC.4155038&amp;isFromPublicArea=True&amp;isModal=true&amp;asPopupView=true</t>
  </si>
  <si>
    <t>1090-1359</t>
  </si>
  <si>
    <t>33-44-101236585</t>
  </si>
  <si>
    <t>1073-1406</t>
  </si>
  <si>
    <t>14/03/2023-27/10/2023</t>
  </si>
  <si>
    <t>FDLF-CPS-212-2023</t>
  </si>
  <si>
    <t>FDLF-CD-212-2023 (87507)</t>
  </si>
  <si>
    <t>https://community.secop.gov.co/Public/Tendering/OpportunityDetail/Index?noticeUID=CO1.NTC.4154678&amp;isFromPublicArea=True&amp;isModal=true&amp;asPopupView=true</t>
  </si>
  <si>
    <t>KATHERYN LIZETH LARA BURGOS</t>
  </si>
  <si>
    <t>NB-100252102</t>
  </si>
  <si>
    <t>N</t>
  </si>
  <si>
    <t>FDLF-CPS-213-2023</t>
  </si>
  <si>
    <t>FDLF-CD-213-2023 87507)</t>
  </si>
  <si>
    <t>https://community.secop.gov.co/Public/Tendering/OpportunityDetail/Index?noticeUID=CO1.NTC.4155051&amp;isFromPublicArea=True&amp;isModal=true&amp;asPopupView=true</t>
  </si>
  <si>
    <t>SERGIO JAIR CORTES LUGO</t>
  </si>
  <si>
    <t>3586654-2</t>
  </si>
  <si>
    <t>FDLF-CPS-214-2023</t>
  </si>
  <si>
    <t>FDLF-CD-214-2023 (87921)</t>
  </si>
  <si>
    <t>https://community.secop.gov.co/Public/Tendering/OpportunityDetail/Index?noticeUID=CO1.NTC.4167347&amp;isFromPublicArea=True&amp;isModal=true&amp;asPopupView=true</t>
  </si>
  <si>
    <t>JAIME RENE ROJAS MILLAN</t>
  </si>
  <si>
    <t>3589997-7</t>
  </si>
  <si>
    <t>FDLF-CPS-215-2023</t>
  </si>
  <si>
    <t>FDLF-CD-215-2023 (87693)</t>
  </si>
  <si>
    <t>https://community.secop.gov.co/Public/Tendering/OpportunityDetail/Index?noticeUID=CO1.NTC.4169299&amp;isFromPublicArea=True&amp;isModal=true&amp;asPopupView=true</t>
  </si>
  <si>
    <t>RAFAEL CESAR LOPEZ PEREZ</t>
  </si>
  <si>
    <t>1021-1369</t>
  </si>
  <si>
    <t>15/02/2023-05/10/2023</t>
  </si>
  <si>
    <t>14-44-101177744</t>
  </si>
  <si>
    <t>1074-1378</t>
  </si>
  <si>
    <t>15/03/2023-17/10/2023</t>
  </si>
  <si>
    <t>14-44101177744</t>
  </si>
  <si>
    <t>60 DIAS</t>
  </si>
  <si>
    <t>FDLF-CPS-216-2023</t>
  </si>
  <si>
    <t>FDLF-CD-216-2023 (87904)</t>
  </si>
  <si>
    <t>https://community.secop.gov.co/Public/Tendering/OpportunityDetail/Index?noticeUID=CO1.NTC.4169885&amp;isFromPublicArea=True&amp;isModal=true&amp;asPopupView=true</t>
  </si>
  <si>
    <t>KEVIN JEAN POLL AGUDELO</t>
  </si>
  <si>
    <t>1032-1410</t>
  </si>
  <si>
    <t>17/02/2023-02/11/2023</t>
  </si>
  <si>
    <t>14-46-101091296</t>
  </si>
  <si>
    <t>1081-1411</t>
  </si>
  <si>
    <t>21/03/2023-03/11/2023</t>
  </si>
  <si>
    <t>JUAN DAVID REYES MONTAÑEZ</t>
  </si>
  <si>
    <t>14-46-101096940</t>
  </si>
  <si>
    <t>54 DIAS</t>
  </si>
  <si>
    <t>FDLF-CPS-217-2023</t>
  </si>
  <si>
    <t>FDLF-CD-217-2023 (87904)</t>
  </si>
  <si>
    <t>https://community.secop.gov.co/Public/Tendering/OpportunityDetail/Index?noticeUID=CO1.NTC.4170401&amp;isFromPublicArea=True&amp;isModal=true&amp;asPopupView=true</t>
  </si>
  <si>
    <t>CRISTIAN CAMILO TRUJILLO VEGA</t>
  </si>
  <si>
    <t>1032-1409</t>
  </si>
  <si>
    <t>14-46-101091191</t>
  </si>
  <si>
    <t>1082-1417</t>
  </si>
  <si>
    <t>55 DIAS</t>
  </si>
  <si>
    <t>FDLF-CPS-218-2023</t>
  </si>
  <si>
    <t>FDLF-CD-218-2023 (88267)</t>
  </si>
  <si>
    <t>https://community.secop.gov.co/Public/Tendering/OpportunityDetail/Index?noticeUID=CO1.NTC.4167342&amp;isFromPublicArea=True&amp;isModal=true&amp;asPopupView=true</t>
  </si>
  <si>
    <t>ANGIE CAROLINA NARANJO DURAN</t>
  </si>
  <si>
    <t>1069-1399</t>
  </si>
  <si>
    <t>27/02/2023-01/11/2023</t>
  </si>
  <si>
    <t>BCH-100025859</t>
  </si>
  <si>
    <t>1078-1408</t>
  </si>
  <si>
    <t>17/03/2023-01/11/2023</t>
  </si>
  <si>
    <t>59 DIAS</t>
  </si>
  <si>
    <t>FDLF-CPS-219-2023</t>
  </si>
  <si>
    <t>FDLF-CD-219-2023 (87757)</t>
  </si>
  <si>
    <t>https://community.secop.gov.co/Public/Tendering/OpportunityDetail/Index?noticeUID=CO1.NTC.4167425&amp;isFromPublicArea=True&amp;isModal=true&amp;asPopupView=true</t>
  </si>
  <si>
    <t>MONICA AREVALO BONILLA</t>
  </si>
  <si>
    <t>1075-1431</t>
  </si>
  <si>
    <t>28/02/2023-02/11/2023</t>
  </si>
  <si>
    <t>380 47 994000133667</t>
  </si>
  <si>
    <t>1076-1412</t>
  </si>
  <si>
    <t>16/03/2023-03/11/2023</t>
  </si>
  <si>
    <t>FDLF-CPS-220-2023</t>
  </si>
  <si>
    <t>FDLF-CD-220-2023 (87904)</t>
  </si>
  <si>
    <t>MICHEL DARÍO SÁNCHEZ SANTANA</t>
  </si>
  <si>
    <t>FDLF-CPS-221-2023</t>
  </si>
  <si>
    <t>FDLF-CD-221-2023 (87882)</t>
  </si>
  <si>
    <t>NOHORA MILENA PORTELA</t>
  </si>
  <si>
    <t>FDLF-CPS-222-2023</t>
  </si>
  <si>
    <t>FDLF-CD-222-2023 (88734)</t>
  </si>
  <si>
    <t>https://community.secop.gov.co/Public/Tendering/OpportunityDetail/Index?noticeUID=CO1.NTC.4178688&amp;isFromPublicArea=True&amp;isModal=true&amp;asPopupView=true</t>
  </si>
  <si>
    <t>MONICA ANDREA CASTRO CASTRO</t>
  </si>
  <si>
    <t>1097-1408</t>
  </si>
  <si>
    <t>14/03/2023-02/11/2023</t>
  </si>
  <si>
    <t>14-46-101091329</t>
  </si>
  <si>
    <t>1079-1314</t>
  </si>
  <si>
    <t>17/03/2023-03/11/2023</t>
  </si>
  <si>
    <t>FDLF-CPS-223-2023</t>
  </si>
  <si>
    <t>FDLF-CD-223-2023 (87832)</t>
  </si>
  <si>
    <t>LUIS EDUARDO SANABRIA VARGAS</t>
  </si>
  <si>
    <t>FDLF-CPS-224-2023</t>
  </si>
  <si>
    <t>FDLF-CD-224-2023 (88021)</t>
  </si>
  <si>
    <t>https://community.secop.gov.co/Public/Tendering/OpportunityDetail/Index?noticeUID=CO1.NTC.4184152&amp;isFromPublicArea=True&amp;isModal=true&amp;asPopupView=true</t>
  </si>
  <si>
    <t>YONIX STEFANNY HUESO PIMIENTA</t>
  </si>
  <si>
    <t>1047-1403</t>
  </si>
  <si>
    <t>22/02/2023-02/11/2023</t>
  </si>
  <si>
    <t>14-44-101178095</t>
  </si>
  <si>
    <t>1089-1414</t>
  </si>
  <si>
    <t>22/03/2023-03/11/2023</t>
  </si>
  <si>
    <t>FDLF-CPS-225-2023</t>
  </si>
  <si>
    <t>FDLF-CD-225-2023 (88361)</t>
  </si>
  <si>
    <t>https://community.secop.gov.co/Public/Tendering/OpportunityDetail/Index?noticeUID=CO1.NTC.4203527&amp;isFromPublicArea=True&amp;isModal=true&amp;asPopupView=true</t>
  </si>
  <si>
    <t>PRESTARLOSSERVICIOSPROFESIONALESPARAAPOYARLAALCALDÍALOCALDEFONTIBÓNENTEMASRELACIONADOSCONRESTAURACIÓNECOLÓGICA,SIEMBRAYMANTENIMIENTODEARBOLADOURBANO</t>
  </si>
  <si>
    <t>1080-1435</t>
  </si>
  <si>
    <t>4/03/2023-02/11/2023</t>
  </si>
  <si>
    <t>33-46-101049975</t>
  </si>
  <si>
    <t>1091-1422</t>
  </si>
  <si>
    <t>23/03/2023-08/11/2023</t>
  </si>
  <si>
    <t>52 DIAS</t>
  </si>
  <si>
    <t>FDLF-CPS-226-2023</t>
  </si>
  <si>
    <t>FDLF-CD-226-2023 (88106 )</t>
  </si>
  <si>
    <t>https://community.secop.gov.co/Public/Tendering/OpportunityDetail/Index?noticeUID=CO1.NTC.4185281&amp;isFromPublicArea=True&amp;isModal=true&amp;asPopupView=true</t>
  </si>
  <si>
    <t>PRESTARLOSSERVICIOSTÉCNICOSPARAAPOYARLOSPROCESOSDEGESTIÓNADMINISTRATIVAACARGODELALMACÉNFONDODEDESARROLLOLOCALDEFONTIBÓN</t>
  </si>
  <si>
    <t>CONSTANZA BRIGITTE MAHECHA JIMENEZ</t>
  </si>
  <si>
    <t>1083-1428</t>
  </si>
  <si>
    <t>14-46-101091524</t>
  </si>
  <si>
    <t>1084-1423</t>
  </si>
  <si>
    <t>21/03/2023-08/11/2023</t>
  </si>
  <si>
    <t>DEICY CAROLINA DIAZ SIERRA</t>
  </si>
  <si>
    <t>14-44-101186111</t>
  </si>
  <si>
    <t>FDLF-CPS-227-2023</t>
  </si>
  <si>
    <t>FDLF-CD-227-2023 (87947)</t>
  </si>
  <si>
    <t>https://community.secop.gov.co/Public/Tendering/OpportunityDetail/Index?noticeUID=CO1.NTC.4186212&amp;isFromPublicArea=True&amp;isModal=true&amp;asPopupView=true</t>
  </si>
  <si>
    <t>TIRSON DAVID PABON CASTELLANO</t>
  </si>
  <si>
    <t>1063-1423</t>
  </si>
  <si>
    <t>23/02/2023-02/11/2023</t>
  </si>
  <si>
    <t>14-46-101091362</t>
  </si>
  <si>
    <t>1083-1416</t>
  </si>
  <si>
    <t>FDLF-CPS-228-2023</t>
  </si>
  <si>
    <t>FDLF-CD-228-2023 (87947)</t>
  </si>
  <si>
    <t>https://community.secop.gov.co/Public/Tendering/OpportunityDetail/Index?noticeUID=CO1.NTC.4186213&amp;isFromPublicArea=True&amp;isModal=true&amp;asPopupView=true</t>
  </si>
  <si>
    <t>HÉCTOR JULIO PULIDO</t>
  </si>
  <si>
    <t>1063-1422</t>
  </si>
  <si>
    <t>14-44-101178141</t>
  </si>
  <si>
    <t>1085-1419</t>
  </si>
  <si>
    <t>FDLF-CPS-229-2023</t>
  </si>
  <si>
    <t>FDLF-CD-229-2023 (87945)</t>
  </si>
  <si>
    <t>https://community.secop.gov.co/Public/Tendering/OpportunityDetail/Index?noticeUID=CO1.NTC.4187514&amp;isFromPublicArea=True&amp;isModal=true&amp;asPopupView=true</t>
  </si>
  <si>
    <t>PRESTARSERVICIOSTÉCNICOSPARAELAPOYOALASACTIVIDADESCORRESPONDIENTESALASACTIVIDADESOPERATIVASDEMAQUINARIAPESADAPARALAALCALDÍALOCALDEFONTIBÓN.</t>
  </si>
  <si>
    <t>JEFERSON BELTRAN LINARES</t>
  </si>
  <si>
    <t>1060-1401</t>
  </si>
  <si>
    <t>14-44-101178160</t>
  </si>
  <si>
    <t>1088-1409</t>
  </si>
  <si>
    <t>FDLF-CPS-230-2023</t>
  </si>
  <si>
    <t>FDLF-CD-230-2023 (88142)</t>
  </si>
  <si>
    <t>https://community.secop.gov.co/Public/Tendering/OpportunityDetail/Index?noticeUID=CO1.NTC.4187140&amp;isFromPublicArea=True&amp;isModal=true&amp;asPopupView=true</t>
  </si>
  <si>
    <t>YINA SOFIA PALACIOS TORRES</t>
  </si>
  <si>
    <t>1081-1406</t>
  </si>
  <si>
    <t>3591560-9</t>
  </si>
  <si>
    <t>1080-1418</t>
  </si>
  <si>
    <t>FDLF-CPS-231-2023</t>
  </si>
  <si>
    <t>FDLF-CD-231-2023 (87989)</t>
  </si>
  <si>
    <t>https://community.secop.gov.co/Public/Tendering/OpportunityDetail/Index?noticeUID=CO1.NTC.4187247&amp;isFromPublicArea=True&amp;isModal=true&amp;asPopupView=true</t>
  </si>
  <si>
    <t>PRESTARSERVICIOSPROFESIONALESPARAREALIZARELACOMPAÑAMIENTOOPERATIVOYCOMUNITARIOALOSDIFERENTESSECTORESPOBLACIONALESYSUINTERLOCUCIÓNCONLAJUNTAADMINISTRADORALOCALDEFONTIBÓN.</t>
  </si>
  <si>
    <t>ANA FERNANDA FRAGOSO OTERO</t>
  </si>
  <si>
    <t>1087-1400</t>
  </si>
  <si>
    <t>15-46-101032997</t>
  </si>
  <si>
    <t>1090-1420</t>
  </si>
  <si>
    <t>22/03/2023-07/11/2023</t>
  </si>
  <si>
    <t>53 DIAS</t>
  </si>
  <si>
    <t>FDLF-CPS-232-2023</t>
  </si>
  <si>
    <t>FDLF-CD-232-2023 (87947)</t>
  </si>
  <si>
    <t>https://community.secop.gov.co/Public/Tendering/OpportunityDetail/Index?noticeUID=CO1.NTC.4188239&amp;isFromPublicArea=True&amp;isModal=true&amp;asPopupView=true</t>
  </si>
  <si>
    <t>LUIS CARLOS RAMOS VARGAS</t>
  </si>
  <si>
    <t>1063-1421</t>
  </si>
  <si>
    <t>14-46-101091591</t>
  </si>
  <si>
    <t>1086-1410</t>
  </si>
  <si>
    <t>FDLF-CPS-233-2023</t>
  </si>
  <si>
    <t>FDLF-CD-233-2023 (87947)</t>
  </si>
  <si>
    <t>https://community.secop.gov.co/Public/Tendering/OpportunityDetail/Index?noticeUID=CO1.NTC.4188340&amp;isFromPublicArea=True&amp;isModal=true&amp;asPopupView=true</t>
  </si>
  <si>
    <t>LUIS MANUEL CAICEDO</t>
  </si>
  <si>
    <t>1063-1420</t>
  </si>
  <si>
    <t>14-46-101091594</t>
  </si>
  <si>
    <t>1087-1415</t>
  </si>
  <si>
    <t>FDLF-CPS-234-2023</t>
  </si>
  <si>
    <t>FDLF-CD-234-2023 (88554)</t>
  </si>
  <si>
    <t>https://community.secop.gov.co/Public/Tendering/OpportunityDetail/Index?noticeUID=CO1.NTC.4203629&amp;isFromPublicArea=True&amp;isModal=true&amp;asPopupView=true</t>
  </si>
  <si>
    <t>NATHALIA MUNAR FERNÁNDEZ</t>
  </si>
  <si>
    <t>1090-1427</t>
  </si>
  <si>
    <t>6/03/2023-02/11/2023</t>
  </si>
  <si>
    <t>14-46-101091769</t>
  </si>
  <si>
    <t>1096-1427</t>
  </si>
  <si>
    <t>28/03/2023-09/11/2023</t>
  </si>
  <si>
    <t>JHON SEBASTIAN GARCIA ESCANDON</t>
  </si>
  <si>
    <t>14-46-101097957</t>
  </si>
  <si>
    <t>48 DIAS</t>
  </si>
  <si>
    <t>FDLF-CPS-235-2023</t>
  </si>
  <si>
    <t>FDLF-CD-235-2023 (88787 )</t>
  </si>
  <si>
    <t>https://community.secop.gov.co/Public/Tendering/OpportunityDetail/Index?noticeUID=CO1.NTC.4204064&amp;isFromPublicArea=True&amp;isModal=true&amp;asPopupView=true</t>
  </si>
  <si>
    <t xml:space="preserve">GUILLERMO ALFONSO BELTRAN VELASCO </t>
  </si>
  <si>
    <t>1108-1426</t>
  </si>
  <si>
    <t>22/03/2023-02/11/2023</t>
  </si>
  <si>
    <t>14-44-101178444</t>
  </si>
  <si>
    <t>1092-1421</t>
  </si>
  <si>
    <t>24/03/2023-08/11/2023</t>
  </si>
  <si>
    <t>FDLF-CPS-236-2023</t>
  </si>
  <si>
    <t>FDLF-CD-236-2023 (88626)</t>
  </si>
  <si>
    <t>https://community.secop.gov.co/Public/Tendering/OpportunityDetail/Index?noticeUID=CO1.NTC.4210567&amp;isFromPublicArea=True&amp;isModal=true&amp;asPopupView=true</t>
  </si>
  <si>
    <t>PRESTARSERVICIOSDEAPOYOCOMOAUXILIARADMINISTRATIVOYOPERATIVOENLAALCALDÍADEFONTIBÓN,PARAELDESARROLLOLOSACUERDOSCIUDADANOSPARAELESPACIOPÚBLICOENELMARCODELPROYECTODEINVERSIONNO1776</t>
  </si>
  <si>
    <t xml:space="preserve">MARIA CAMILA HERNANDEZ AGUDELO </t>
  </si>
  <si>
    <t>1093-1414</t>
  </si>
  <si>
    <t>8/03/2023-02/11/2023</t>
  </si>
  <si>
    <t>340-47-9944000044527</t>
  </si>
  <si>
    <t>43 DIAS</t>
  </si>
  <si>
    <t>FDLF-CPS-237-2023</t>
  </si>
  <si>
    <t>FDLF-CD-237-2023 (88481)</t>
  </si>
  <si>
    <t>https://community.secop.gov.co/Public/Tendering/OpportunityDetail/Index?noticeUID=CO1.NTC.4215918&amp;isFromPublicArea=True&amp;isModal=true&amp;asPopupView=true</t>
  </si>
  <si>
    <t>PRESTARSERVICIOSTÉCNICOSPARALAOPERACIÓN,SEGUIMIENTOYCUMPLIMIENTODELOSPROCESOSYPROCEDIMIENTOSDELPROGRAMAPARCEROSPORBOGOTÁ,REQUERIDOSPARAELOPORTUNOYADECUADOREGISTRO,CRUCEYREPORTEDEDATOSENELSISTEMADEINFORMACIÓNYREGISTRODEBENEFICIARIOSDELPROGRAMA,QUECONTRIBUYANALAGARANTÍADELOSDERECHOSDELOSYLASJÓVENES</t>
  </si>
  <si>
    <t>VALENTINA BELLO CIFUENTES</t>
  </si>
  <si>
    <t>14-44101178791</t>
  </si>
  <si>
    <t>FDLF-CPS-238-2023</t>
  </si>
  <si>
    <t>FDLF-CD-238-2023 (87757)</t>
  </si>
  <si>
    <t>https://community.secop.gov.co/Public/Tendering/OpportunityDetail/Index?noticeUID=CO1.NTC.4208546&amp;isFromPublicArea=True&amp;isModal=true&amp;asPopupView=true</t>
  </si>
  <si>
    <t>1075-1438</t>
  </si>
  <si>
    <t>28/02/2023-08/11/2023</t>
  </si>
  <si>
    <t>14-46-101091720</t>
  </si>
  <si>
    <t>1093-1424</t>
  </si>
  <si>
    <t>12 DIAS</t>
  </si>
  <si>
    <t>FDLF-CPS-239-2023</t>
  </si>
  <si>
    <t>FDLF-CD-239-2023 (88629)</t>
  </si>
  <si>
    <t>https://community.secop.gov.co/Public/Tendering/OpportunityDetail/Index?noticeUID=CO1.NTC.4209852&amp;isFromPublicArea=True&amp;isModal=true&amp;asPopupView=true</t>
  </si>
  <si>
    <t>PRESTARSERVICIOSPROFESIONALESESPECIALIZADOSPARAAPOYARLAFORMULACIÓN,SEGUIMIENTOYSUPERVISIÓNDELOSPROCESOSCONTRACTUALESDERIVADOSENELMARCODELASNECESIDADESDELAALCALDÍALOCALDEFONTIBÓNDEACUERDOCONLOCONTEMPLADOENEL(LOS)PROYECTO(S)1783</t>
  </si>
  <si>
    <t>11-46-101034967</t>
  </si>
  <si>
    <t>10 DIAS</t>
  </si>
  <si>
    <t>SUSPENSION-REINICIO-EN EJECUCIÓN</t>
  </si>
  <si>
    <t>FDLF-CPS-240-2023</t>
  </si>
  <si>
    <t>DIEGO ARMANDO BALLESTEROS</t>
  </si>
  <si>
    <t>FDLF-CD-240-2023 ( 89070)</t>
  </si>
  <si>
    <t>https://community.secop.gov.co/Public/Tendering/OpportunityDetail/Index?noticeUID=CO1.NTC.4230873&amp;isFromPublicArea=True&amp;isModal=true&amp;asPopupView=true</t>
  </si>
  <si>
    <t>COORDINAR,ACOMPAÑARYASESORARLOSPLANESYESTRATEGIASDECOMUNICACIÓNINTERNAYEXTERNAPARALADIVULGACIÓNDELOSPROGRAMAS,PROYECTOSYACTIVIDADESDELAALCALDÍALOCAL</t>
  </si>
  <si>
    <t>1113-1432</t>
  </si>
  <si>
    <t>11-44101199963</t>
  </si>
  <si>
    <t>1101-1428</t>
  </si>
  <si>
    <t>30/03/2023-09/11/2023</t>
  </si>
  <si>
    <t>47 DIAS</t>
  </si>
  <si>
    <t>FDLF-CI-5714-2023(INTERNO FDLF-CPS-241-2023 )</t>
  </si>
  <si>
    <t>CONVENIO INTERADMINISTRATIVO</t>
  </si>
  <si>
    <t>FDLF-CD-241-2023 (89018)</t>
  </si>
  <si>
    <t>https://www.contratos.gov.co/consultas/detalleProceso.do?numConstancia=23-22-62513&amp;g-recaptcha-response=03AL8dmw8v1RXmCPvlEGO2g1zV619aUDqWt1noruutqXF_qU9OytUtGb-a_ZqgL2SDy01Z5iBounlvtFUhjSWrcdZPRgWQGLuVwz2_E82muq6Yyc3_y-u6IVG_AU58jprF3UAMnmkm-pbQ-olxad0TWzVlc0iQp5Wi9qiHeF4L4nXVACARLrpL8RvMt1SgIu2DTagdbj7jCpN9UHQhVHXdR2AtSN7xSki5S6Cr-TxqwYBFHETcKXLBxJyhuyOn2-CC_5Et_OQBRTi9lOXVgkYvf-O6AQgOXcPkJUw57_dvS-BVgIXDJYe7s5kaFkBr4RELP3s3C-6e_2CivFKzDlJsmKMSeYOl9eajJW4Am6y9tfJXRJs3fPcpAdzFWLeJbqBZ5YVXaTbufr2Qre3kdMcucI8UABnKTfVIGgkrldgKlfoCVIQrYueIfmeX_XWP8Xd9RnQ84Txcz_t5YOnK-jbrQocMiDz2ZNmZV_l0GKUI9Y5vzwqfcJmYnXGK--hY7s7qP6A-erAygOBlRlN7BvFmY_gP9US03j8l-eq2X_DxzqzxSnRg9eCNHyM</t>
  </si>
  <si>
    <t>AUNARESFUERZOSTÉCNICOS,ADMINISTRATIVOSYFINANCIEROSCONELFINDEDESARROLLARACCIONESARTICULADASENTRELASCRD,ELIDARTESYLOSFONDOSDEDESARROLLOLOCAL,ORIENTADASAFOMENTARPROCESOSDEFORMACIÓN,CUALIFICACIÓN,FORTALECIMIENTODELOSAGENTESCULTURALESTERRITORIALESDELDISTRITOCAPITAL,ENELMARCODELAGENERACIÓNYCIRCULACIÓNDEBIENESYSERVICIOSCULTURALES,ARTÍSTICOSYPATRIMONIALES,DECONFORMIDADCONLASINICIATIVASPRIORIZADASYCONCERTADASENLAESTRATEGIADISTRITAL"PRESUPUESTOSPARTICIPATIVOS"Y/ODELASCONCERTACIONESCONLOSGRUPOSDEINTERÉSDELASLOCALIDADESYALASACCIONESADELANTADASENEL“PROCESOMISIONALDEFOMENTO”,DEACUERDOCONLOSPROYECTOSAEJECUTARASOCIADOSALASMETASDECADALOCALIDADENELPROGRAMA"ESCULTURALOCAL2022".</t>
  </si>
  <si>
    <t>SECRETARIA DISTRITAL DE INTEGRACION</t>
  </si>
  <si>
    <t xml:space="preserve">9 MESES Y 15 DÍAS </t>
  </si>
  <si>
    <t>CELEBRADO-SECOP I</t>
  </si>
  <si>
    <t>FDLF-CPS-242-2023</t>
  </si>
  <si>
    <t>FDLF-CD-242-2023 (87695)</t>
  </si>
  <si>
    <t>https://community.secop.gov.co/Public/Tendering/OpportunityDetail/Index?noticeUID=CO1.NTC.4223450&amp;isFromPublicArea=True&amp;isModal=true&amp;asPopupView=true</t>
  </si>
  <si>
    <t>MARTHA CECILIA ROJA ARCHILA</t>
  </si>
  <si>
    <t>1110-1419</t>
  </si>
  <si>
    <t>15-44-101277811</t>
  </si>
  <si>
    <t>1099-1433</t>
  </si>
  <si>
    <t>30/03/2023-15/11/2023</t>
  </si>
  <si>
    <t>FDLF-CPS-243-2023</t>
  </si>
  <si>
    <t>FDLF-CD-243-2023 (88811)</t>
  </si>
  <si>
    <t>https://community.secop.gov.co/Public/Tendering/OpportunityDetail/Index?noticeUID=CO1.NTC.4228440&amp;isFromPublicArea=True&amp;isModal=true&amp;asPopupView=true</t>
  </si>
  <si>
    <t>PRESTARSERVICIOSPROFESIONALESPARABRINDARAPOYOAALMACÉNENLAPROYECCIÓN,ARTICULACIÓN,SEGUIMIENTOYACOMPAÑAMIENTOESTRATÉGICODELAENTREGADELOSBIENESQUESONADQUIRIDOSPORELFONDODEDESARROLLOLOCALDEFONTIBÓN</t>
  </si>
  <si>
    <t>EBLYN ESTEFANY NAVARRO</t>
  </si>
  <si>
    <t>1102-1424</t>
  </si>
  <si>
    <t>17/03/2023-02/11/2023</t>
  </si>
  <si>
    <t>14-44-101179124</t>
  </si>
  <si>
    <t>1100-1431</t>
  </si>
  <si>
    <t>30/03/2023-14/11/2023</t>
  </si>
  <si>
    <t>25-46-101029108</t>
  </si>
  <si>
    <t>FDLF-CPS-244-2023</t>
  </si>
  <si>
    <t>FDLF-CD-244-2023 (89135)</t>
  </si>
  <si>
    <t>https://community.secop.gov.co/Public/Tendering/OpportunityDetail/Index?noticeUID=CO1.NTC.4225314&amp;isFromPublicArea=True&amp;isModal=true&amp;asPopupView=true</t>
  </si>
  <si>
    <t>PRESTARSERVICIOSPROFESIONALESPARAAPOYARELÁREADEGESTIÓNDEDESARROLLOLOCALDEFONTIBÓNORIENTADOSALCUMPLIMIENTODELASMETASDELPROYECTODEINVERSIÓNNO1780</t>
  </si>
  <si>
    <t>1117-1418</t>
  </si>
  <si>
    <t>24/03/2023-02/11/2023</t>
  </si>
  <si>
    <t>14-46-101091887</t>
  </si>
  <si>
    <t>1098-1426</t>
  </si>
  <si>
    <t>FDLF-CPS-245-2023</t>
  </si>
  <si>
    <t>FDLF-CD-245-2023 (88626)</t>
  </si>
  <si>
    <t>https://community.secop.gov.co/Public/Tendering/OpportunityDetail/Index?noticeUID=CO1.NTC.4223458&amp;isFromPublicArea=True&amp;isModal=true&amp;asPopupView=true</t>
  </si>
  <si>
    <t>PRESTARSERVICIOSDEAPOYOCOMOAUXILIARADMINISTRATIVOYOPERATIVOENLAALCALDÍADEFONTIBÓN,PARAELDESARROLLOLOSACUERDOSCIUDADANOSPARAELESPACIOPÚBLICOENELMARCODELPROYECTODEINVERSIÒNNO1776</t>
  </si>
  <si>
    <t>YENNY MEDINA OLARTE</t>
  </si>
  <si>
    <t>1093-1413</t>
  </si>
  <si>
    <t xml:space="preserve">	14-46-101091883</t>
  </si>
  <si>
    <t>1103-1432</t>
  </si>
  <si>
    <t>FDLF-CPS-246-2023</t>
  </si>
  <si>
    <t>FDLF-CD-246-2023 (88503)</t>
  </si>
  <si>
    <t>https://community.secop.gov.co/Public/Tendering/OpportunityDetail/Index?noticeUID=CO1.NTC.4256683&amp;isFromPublicArea=True&amp;isModal=False</t>
  </si>
  <si>
    <t>PRESTARSERVICIOSPROFESIONALESPARADESARROLLARHERRAMIENTASPARALAAPROPIACIÓN,DIFUSIÓNYSOCIALIZACIÓNPARALAALCALDÍALOCALDEFONTIBÓN.</t>
  </si>
  <si>
    <t>ERIKA LIZETH VÁSQUEZ RAMÍREZ</t>
  </si>
  <si>
    <t>1111-1437</t>
  </si>
  <si>
    <t>22/03/2023-08/11/2023</t>
  </si>
  <si>
    <t>15-46-101033309</t>
  </si>
  <si>
    <t>1111-1425</t>
  </si>
  <si>
    <t>10/04/2023-09/11/2023</t>
  </si>
  <si>
    <t>50 DIAS</t>
  </si>
  <si>
    <t>FDLF-CPS-247-2023</t>
  </si>
  <si>
    <t>FDLF-CD-247-2023 (89053)</t>
  </si>
  <si>
    <t>https://community.secop.gov.co/Public/Tendering/OpportunityDetail/Index?noticeUID=CO1.NTC.4246929&amp;isFromPublicArea=True&amp;isModal=False</t>
  </si>
  <si>
    <t>LAURA CAMILA SANCHEZ HERNANDEZ</t>
  </si>
  <si>
    <t>1114-1430</t>
  </si>
  <si>
    <t>14-46-101092205</t>
  </si>
  <si>
    <t>41 DIAS</t>
  </si>
  <si>
    <t>FDLF-CPS-248-2023</t>
  </si>
  <si>
    <t>FDLF-CD-248-2023 (89121)</t>
  </si>
  <si>
    <t>https://community.secop.gov.co/Public/Tendering/OpportunityDetail/Index?noticeUID=CO1.NTC.4246763&amp;isFromPublicArea=True&amp;isModal=False</t>
  </si>
  <si>
    <t>MARTHA LUCIA VEGA RAMIREZ</t>
  </si>
  <si>
    <t>1120-1425</t>
  </si>
  <si>
    <t>28/03/2023-02/11/2023</t>
  </si>
  <si>
    <t>21-46-101066781</t>
  </si>
  <si>
    <t>1104-1429</t>
  </si>
  <si>
    <t>31/03/2023-14/11/2023</t>
  </si>
  <si>
    <t>FDLF-CPS-249-2023</t>
  </si>
  <si>
    <t>FDLF-CD-249-2023 (89179)</t>
  </si>
  <si>
    <t>https://community.secop.gov.co/Public/Tendering/OpportunityDetail/Index?noticeUID=CO1.NTC.4264346&amp;isFromPublicArea=True&amp;isModal=False</t>
  </si>
  <si>
    <t>ANGIE PAOLA NIÑO VERANO</t>
  </si>
  <si>
    <t>1126-1429</t>
  </si>
  <si>
    <t>31/03/2023-02/11/2023</t>
  </si>
  <si>
    <t>340 - 47 - 994000044660</t>
  </si>
  <si>
    <t>1116-1434</t>
  </si>
  <si>
    <t>11/04/2023-15/11/2023</t>
  </si>
  <si>
    <t>35 DIAS</t>
  </si>
  <si>
    <t>FDLF-CPS-250-2023</t>
  </si>
  <si>
    <t>FDLF-CD-250-2023 (88626)</t>
  </si>
  <si>
    <t>https://community.secop.gov.co/Public/Tendering/OpportunityDetail/Index?noticeUID=CO1.NTC.4247706&amp;isFromPublicArea=True&amp;isModal=False</t>
  </si>
  <si>
    <t xml:space="preserve">RICARDO ALBERTO ARANGO URREGO </t>
  </si>
  <si>
    <t>1093-1412</t>
  </si>
  <si>
    <t>47-46-101013002</t>
  </si>
  <si>
    <t>1107-1430</t>
  </si>
  <si>
    <t>42 DIAS</t>
  </si>
  <si>
    <t>FDLF-CPS-251-2023</t>
  </si>
  <si>
    <t>FDLF-CD-251-2023 (88729)</t>
  </si>
  <si>
    <t>https://community.secop.gov.co/Public/Tendering/OpportunityDetail/Index?noticeUID=CO1.NTC.4247825&amp;isFromPublicArea=True&amp;isModal=False</t>
  </si>
  <si>
    <t>SANDRA PATRICIA SANCHEZ PAREDES</t>
  </si>
  <si>
    <t>1109-1434</t>
  </si>
  <si>
    <t>14-44-101179235</t>
  </si>
  <si>
    <t>36 DIAS</t>
  </si>
  <si>
    <t>FDLF-CPS-252-2023</t>
  </si>
  <si>
    <t>FDLF-CD-252-2023 (88729)</t>
  </si>
  <si>
    <t>https://community.secop.gov.co/Public/Tendering/OpportunityDetail/Index?noticeUID=CO1.NTC.4248313&amp;isFromPublicArea=True&amp;isModal=False</t>
  </si>
  <si>
    <t>EDWARD JAIR MORENO MENA</t>
  </si>
  <si>
    <t>1109-1433</t>
  </si>
  <si>
    <t>14-46-101092191</t>
  </si>
  <si>
    <t>1110-1435</t>
  </si>
  <si>
    <t>10/04/2023-15/11/2023</t>
  </si>
  <si>
    <t>FDLF-CPS-253-2023</t>
  </si>
  <si>
    <t>FDLF-CD-253-2023 (87691)</t>
  </si>
  <si>
    <t>https://community.secop.gov.co/Public/Tendering/OpportunityDetail/Index?noticeUID=CO1.NTC.4248216&amp;isFromPublicArea=True&amp;isModal=False</t>
  </si>
  <si>
    <t>PRESTACIÓNDESERVICIOSDEAPOYOLOGÍSTICOENLAEJECUCIÓNDEACTIVIDADESDEOBRACIVILQUECONLLEVENALMEJORAMIENTOYADECUACIÓNDELESPACIOPÚBLICOYLAMALLAVIALDELALOCALIDADDEFONTIBÓN</t>
  </si>
  <si>
    <t>RICARDO RETAVISCA FAJARDO</t>
  </si>
  <si>
    <t>1106-1417</t>
  </si>
  <si>
    <t>21/03/2023-02/11/2023</t>
  </si>
  <si>
    <t>14-44101179197</t>
  </si>
  <si>
    <t>1108-1443</t>
  </si>
  <si>
    <t>31/03/2023-16/11/2023</t>
  </si>
  <si>
    <t>FDLF-CPS-254-2023</t>
  </si>
  <si>
    <t>FDLF-CD-254-2023 (88864)</t>
  </si>
  <si>
    <t>https://community.secop.gov.co/Public/Tendering/OpportunityDetail/Index?noticeUID=CO1.NTC.4248132&amp;isFromPublicArea=True&amp;isModal=False</t>
  </si>
  <si>
    <t>PRESTARSERVICIOSPROFESIONALESPARAELFORTALECIMIENTODELAFUNCIÓNADMINISTRATIVAYDESARROLLOINSTITUCIONALDELCOMPONENTESOCIALENCUMPLIMIENTOALASMETASESTABLECIDASENELPLANDEDESARROLLOLOCAL2021-2024</t>
  </si>
  <si>
    <t>11-46-101035178</t>
  </si>
  <si>
    <t>FDLF-CPS-255-2023</t>
  </si>
  <si>
    <t>FDLF-CD-255-2023 (89089)</t>
  </si>
  <si>
    <t>https://community.secop.gov.co/Public/Tendering/OpportunityDetail/Index?noticeUID=CO1.NTC.4289694&amp;isFromPublicArea=True&amp;isModal=False</t>
  </si>
  <si>
    <t>PRESTARSERVICIOSDEAPOYOTÉCNICOPARALAOPERACIÓN,SEGUIMIENTOYCUMPLIMIENTODELOSPROCESOSYPROCEDIMIENTOSDELAALCALDÍALOCALDEFONTIBÓNORIENTADOSALCUMPLIMIENTODELASMETASDELPROYECTODEINVERSIÓNNO1761</t>
  </si>
  <si>
    <t>JESSICA LIZETH LOPEZ ACERO</t>
  </si>
  <si>
    <t>BCH-100026354</t>
  </si>
  <si>
    <t>FDLF-CPS-256-2023</t>
  </si>
  <si>
    <t>FDLF-CD-256-2023 (88632)</t>
  </si>
  <si>
    <t>https://community.secop.gov.co/Public/Tendering/OpportunityDetail/Index?noticeUID=CO1.NTC.4256912&amp;isFromPublicArea=True&amp;isModal=False</t>
  </si>
  <si>
    <t xml:space="preserve">	PRESTARSERVICIOSDEAPOYOCOMOAUXILIARADMINISTRATIVOYOPERATIVOENELMARCODELPROYECTODEINVERSIÓNNO1761</t>
  </si>
  <si>
    <t>NATALIA CHITIVA GONZALEZ</t>
  </si>
  <si>
    <t>14-46-101092300</t>
  </si>
  <si>
    <t>FDLF-CPS-257-2023</t>
  </si>
  <si>
    <t>FDLF-CD-257-2023 (88632)</t>
  </si>
  <si>
    <t>https://community.secop.gov.co/Public/Tendering/OpportunityDetail/Index?noticeUID=CO1.NTC.4257006&amp;isFromPublicArea=True&amp;isModal=False</t>
  </si>
  <si>
    <t>MARIA MARGARITA SANCHEZ RODRIGUEZ</t>
  </si>
  <si>
    <t>1095-1404</t>
  </si>
  <si>
    <t>NB - 100254800</t>
  </si>
  <si>
    <t>FDLF-CPS-258-2023</t>
  </si>
  <si>
    <t>FDLF-CD-258-2023 (89094)</t>
  </si>
  <si>
    <t>https://community.secop.gov.co/Public/Tendering/OpportunityDetail/Index?noticeUID=CO1.NTC.4257008&amp;isFromPublicArea=True&amp;isModal=False</t>
  </si>
  <si>
    <t>MICHAEL DAVID ARBOLEDA</t>
  </si>
  <si>
    <t>1121-1407</t>
  </si>
  <si>
    <t>BCH-100026227</t>
  </si>
  <si>
    <t>FDLF-CPS-259-2023</t>
  </si>
  <si>
    <t>FDLF-CD-259-2023 (89322)</t>
  </si>
  <si>
    <t>https://community.secop.gov.co/Public/Tendering/OpportunityDetail/Index?noticeUID=CO1.NTC.4266143&amp;isFromPublicArea=True&amp;isModal=False</t>
  </si>
  <si>
    <t xml:space="preserve">PRESTACIÓNDESERVICIOSDEAPOYOENLAEJECUCIÓNDEACTIVIDADESCOMORASTRILLEROY/OAYUDANTEDEOBRACIVIL,QUECONLLEVENALMEJORAMIENTOYADECUACIÓNDELESPACIOPÚBLICOYMALLAVIALDELALOCALIDAD	</t>
  </si>
  <si>
    <t>BRAYAM ESTEVEN SILVA CRUZ</t>
  </si>
  <si>
    <t>1124-1416</t>
  </si>
  <si>
    <t>14-44-101179607</t>
  </si>
  <si>
    <t>FDLF-CPS-260-2023</t>
  </si>
  <si>
    <t>FDLF-CD-260-2023 (89212)</t>
  </si>
  <si>
    <t>https://community.secop.gov.co/Public/Tendering/OpportunityDetail/Index?noticeUID=CO1.NTC.4279741&amp;isFromPublicArea=True&amp;isModal=False</t>
  </si>
  <si>
    <t>PRESTARSERVICIOSTÉCNICOSPARAELAPOYOALASACTIVIDADESCORRESPONDIENTESALASACTIVIDADESOPERATIVASDEMAQUINARIAPESADAPARALAALCALDÍALOCALDEFONTIBÓN</t>
  </si>
  <si>
    <t>JOAQUÍN BELTRÁN MORENO</t>
  </si>
  <si>
    <t>1123-1415</t>
  </si>
  <si>
    <t>14-44-101179689</t>
  </si>
  <si>
    <t>1118-1440</t>
  </si>
  <si>
    <t>12/04/2023-16/11/2023</t>
  </si>
  <si>
    <t>33 DIAS</t>
  </si>
  <si>
    <t>FDLF-CPS-261-2023</t>
  </si>
  <si>
    <t>FDLF-CD-261-2023 (88626)</t>
  </si>
  <si>
    <t>https://community.secop.gov.co/Public/Tendering/OpportunityDetail/Index?noticeUID=CO1.NTC.4267956&amp;isFromPublicArea=True&amp;isModal=False</t>
  </si>
  <si>
    <t>KEVIN SANTIAGO OSORIO DELGADO</t>
  </si>
  <si>
    <t>1093-1411</t>
  </si>
  <si>
    <t>08/03/2023-02/11/2023</t>
  </si>
  <si>
    <t>33-46-101050213</t>
  </si>
  <si>
    <t>1117-1441</t>
  </si>
  <si>
    <t>11/04/2023-16/11/2023</t>
  </si>
  <si>
    <t>34 DIA</t>
  </si>
  <si>
    <t>FDLF-CPS-262-2023</t>
  </si>
  <si>
    <t>FDLF-CD-262-2023 (89123)</t>
  </si>
  <si>
    <t>https://community.secop.gov.co/Public/Tendering/OpportunityDetail/Index?noticeUID=CO1.NTC.4326351&amp;isFromPublicArea=True&amp;isModal=False</t>
  </si>
  <si>
    <t>JUAN JOSÉ VELASCO BEJARANO</t>
  </si>
  <si>
    <t>21-46-101067670</t>
  </si>
  <si>
    <t>FDLF-CPS-263-2023</t>
  </si>
  <si>
    <t>FDLF-CD-263-2023 (89221)</t>
  </si>
  <si>
    <t>https://community.secop.gov.co/Public/Tendering/OpportunityDetail/Index?noticeUID=CO1.NTC.4279638&amp;isFromPublicArea=True&amp;isModal=False</t>
  </si>
  <si>
    <t>PRESTARSERVICIOSPROFESIONALESPARAAPOYARLAFORMULACIÓN,SEGUIMIENTOYSUPERVISIÓNDELOSPROCESOSDERIVADOSDELPROYECTODEINVERSIÓNNO.1758,ENELMARCODELASNECESIDADESDELAALCALDÍALOCALDEFONTIBÓN</t>
  </si>
  <si>
    <t>14-46-101092468</t>
  </si>
  <si>
    <t>FDLF-CPS-264-2023</t>
  </si>
  <si>
    <t>FDLF-CD-264-2023 (89322)</t>
  </si>
  <si>
    <t>https://community.secop.gov.co/Public/Tendering/OpportunityDetail/Index?noticeUID=CO1.NTC.4290936&amp;isFromPublicArea=True&amp;isModal=False</t>
  </si>
  <si>
    <t>HERNANDO ERNESTO RODÍGUEZ MONCADA</t>
  </si>
  <si>
    <t>14-44-101179895</t>
  </si>
  <si>
    <t>FDLF-CPS-265-2023</t>
  </si>
  <si>
    <t>FDLF-CD-265-2023 (88920)</t>
  </si>
  <si>
    <t>https://community.secop.gov.co/Public/Tendering/OpportunityDetail/Index?noticeUID=CO1.NTC.4299287&amp;isFromPublicArea=True&amp;isModal=False</t>
  </si>
  <si>
    <t xml:space="preserve">JUAN CAMILO RUBIANO ROJAS </t>
  </si>
  <si>
    <t>11-46-101035460</t>
  </si>
  <si>
    <t>FDLF-CPS-266-2023</t>
  </si>
  <si>
    <t>FDLF-CD-266-2023 (89221)</t>
  </si>
  <si>
    <t>https://community.secop.gov.co/Public/Tendering/OpportunityDetail/Index?noticeUID=CO1.NTC.4304080&amp;isFromPublicArea=True&amp;isModal=False</t>
  </si>
  <si>
    <t>LINDSAY SASCHENKA BAHAMON VIZCAINO</t>
  </si>
  <si>
    <t>33-44101237672</t>
  </si>
  <si>
    <t>FDLF-CPS-267-2023</t>
  </si>
  <si>
    <t>FDLF-CD-267-2023 (89171)</t>
  </si>
  <si>
    <t>https://community.secop.gov.co/Public/Tendering/OpportunityDetail/Index?noticeUID=CO1.NTC.4312271&amp;isFromPublicArea=True&amp;isModal=False</t>
  </si>
  <si>
    <t>PRESTARSERVICIOSPROFESIONALESDEAPOYOENLOSPROCESOSDECOBROPERSUASIVODELASOBLIGACIONESCLARAS,EXPRESAS,YACTUALMENTEEXIGIBLES,PORCONCEPTODEMULTASENELMARCODELAGESTIÓNPOLICIVA.</t>
  </si>
  <si>
    <t>ERICA LEDEZMA CUERO</t>
  </si>
  <si>
    <t>3618370-5</t>
  </si>
  <si>
    <t>FDLF-CPS-268-2023</t>
  </si>
  <si>
    <t>FDLF-CD-268-2023 (89567)</t>
  </si>
  <si>
    <t>https://community.secop.gov.co/Public/Tendering/OpportunityDetail/Index?noticeUID=CO1.NTC.4312508&amp;isFromPublicArea=True&amp;isModal=False</t>
  </si>
  <si>
    <t>APOYARJURIDICAMENTELAATENCIÓNYELSEGUIMIENTODELASACCIONESCONSTITUCIONALES(DEGRUPO,POPULARESYDETUTELA)ENLASQUESEVEAVINCULADALAALCALDÍALOCAL</t>
  </si>
  <si>
    <t>LAURA ROCIO AMAYA BECERRA</t>
  </si>
  <si>
    <t>14-46-101092799</t>
  </si>
  <si>
    <t>FDLF-CPS-269-2023</t>
  </si>
  <si>
    <t>FDLF-CD-269-2023 (89035)</t>
  </si>
  <si>
    <t>https://community.secop.gov.co/Public/Tendering/OpportunityDetail/Index?noticeUID=CO1.NTC.4314257&amp;isFromPublicArea=True&amp;isModal=False</t>
  </si>
  <si>
    <t>PRESTARSERVICIOSPROFESIONALESPARAELAPOYOTECNICOENPROCESOSDEPARTICIPACIÓNCIUDADANA,PRESUPUESTOSPARTICIPATIVOS,CONTRATACIÓNYENMATERIADEPROPIEDADHORIZONTAL</t>
  </si>
  <si>
    <t>MARIA CAMILA BARRAGAN CASTAÑEDA</t>
  </si>
  <si>
    <t>14-46-101092690</t>
  </si>
  <si>
    <t>FDLF-CPS-270-2023</t>
  </si>
  <si>
    <t>FDLF-CD-270-2023 (89518)</t>
  </si>
  <si>
    <t>https://community.secop.gov.co/Public/Tendering/OpportunityDetail/Index?noticeUID=CO1.NTC.4320025&amp;isFromPublicArea=True&amp;isModal=False</t>
  </si>
  <si>
    <t>PRESTARSERVICIOSPROFESIONALESPARAAPOYARLAFORMULACIÓN,SEGUIMIENTOYSUPERVISIÓNDELOSPROCESOSDERIVADOSDELPROYECTODEINVERSIÓNNO.1757,ORIENTADOALOSTEMASDEPORTIVOSDEACTIVIDADFÍSICAYRECREATIVOSENLALOCALIDAD</t>
  </si>
  <si>
    <t xml:space="preserve"> JOHN FREDDY AMAYA MORENO</t>
  </si>
  <si>
    <t>11-44-101200873</t>
  </si>
  <si>
    <t>FDLF-CPS-271-2023</t>
  </si>
  <si>
    <t>FDLF-CD-271-2023 (89318)</t>
  </si>
  <si>
    <t>https://community.secop.gov.co/Public/Tendering/OpportunityDetail/Index?noticeUID=CO1.NTC.4324850&amp;isFromPublicArea=True&amp;isModal=False</t>
  </si>
  <si>
    <t>LUIS ENRIQUE CRUZ ORJUELA</t>
  </si>
  <si>
    <t>14-46-101092887</t>
  </si>
  <si>
    <t>FDLF-CPS-272-2023</t>
  </si>
  <si>
    <t>FDLF-CD-272-2023 (89177)</t>
  </si>
  <si>
    <t>https://community.secop.gov.co/Public/Tendering/OpportunityDetail/Index?noticeUID=CO1.NTC.4333831&amp;isFromPublicArea=True&amp;isModal=False</t>
  </si>
  <si>
    <t>PRESTARLOSSERVICIOSPROFESIONALESPARADESARROLLARLAPREPRODUCCIÓN,PRODUCCIÓNYPOSTPRODUCCIÓNOPERATIVADELASACTIVIDADESYESPACIOSDEREACTIVACIÓNQUESEDESARROLLENENTERRITORIODEACUERDOCONLASNECESIDADESDELASDIFERENTESGESTIONESDELAALCALDÍALOCALDEFONTIBÓN</t>
  </si>
  <si>
    <t>MANUEL DAVID MARTÍNEZ ESTUPIÑAN</t>
  </si>
  <si>
    <t>11-46-101035675</t>
  </si>
  <si>
    <t>FDLF-CPS-273-2023</t>
  </si>
  <si>
    <t>FDLF-CD-273-2023 (89562)</t>
  </si>
  <si>
    <t>https://community.secop.gov.co/Public/Tendering/OpportunityDetail/Index?noticeUID=CO1.NTC.4348571&amp;isFromPublicArea=True&amp;isModal=False</t>
  </si>
  <si>
    <t>PRESTARSERVICIOSPROFESIONALESPARAAPOYARALDESPACHODELALCALDELOCAL,ENLAREVISIÓNJURÍDICAYADMINISTRATIVADELOSDOCUMENTOSDERIVADOSDELAGESTIÓNDELAALCALDÍALOCALDEFONTIBÓN.</t>
  </si>
  <si>
    <t>LEIDY PAOLA VALDES SOLANO</t>
  </si>
  <si>
    <t>30-46-101012384-0</t>
  </si>
  <si>
    <t>FDLF-CPS-274-2023</t>
  </si>
  <si>
    <t>FDLF-CD-274-2023 (89611)</t>
  </si>
  <si>
    <t>https://community.secop.gov.co/Public/Tendering/OpportunityDetail/Index?noticeUID=CO1.NTC.4348572&amp;isFromPublicArea=True&amp;isModal=False</t>
  </si>
  <si>
    <t>PRESTARLOSSERVICIOSTÉCNICOSPARALAOPERACIÓN,SEGUIMIENTOYCUMPLIMIENTODELOSPROCESOSYPROCEDIMIENTOSDELSERVICIOAPOYOSECONÓMICOSTIPOC,REQUERIDOSPARAELOPORTUNOYADECUADOREGISTRO,CRUCEYREPORTEDELOSDATOSENELSISTEMAMISIONAL¿SIRBE,QUECONTRIBUYANALAGARANTÍADELOSDERECHOSDELAPOBLACIÓNMAYORENELMARCODELAPOLÍTICAPÚBLICASOCIALPARAELENVEJECIMIENTOYLAVEJEZENELDISTRITOCAPITALACARGODELAALCALDÍALOCAL</t>
  </si>
  <si>
    <t>EDGAR ANDRÉS NIETO CAMACHO</t>
  </si>
  <si>
    <t xml:space="preserve">	17-46-101027472</t>
  </si>
  <si>
    <t>FDLF-CPS-275-2023</t>
  </si>
  <si>
    <t>FDLF-CD-275-2023 (89572)</t>
  </si>
  <si>
    <t>https://community.secop.gov.co/Public/Tendering/OpportunityDetail/Index?noticeUID=CO1.NTC.4348573&amp;isFromPublicArea=True&amp;isModal=False</t>
  </si>
  <si>
    <t>PRESTARSERVICIOSPROFESIONALESPARAELSEGUIMIENTOYEVALUACIÓNDEPOLÍTICAS,PLANES,PROGRAMASYPROYECTOSDEDESARROLLOLOCAL,PARAELCUMPLIMIENTODELASMETASDELPLANDEDESARROLLOLOCALDEFONTIBÓN.</t>
  </si>
  <si>
    <t>PABLO ARTURO CASTRO ALONSO</t>
  </si>
  <si>
    <t>14-46-101093211</t>
  </si>
  <si>
    <t>FDLF-CPS-276-2023</t>
  </si>
  <si>
    <t>FDLF-CD-276-2023 (89661)</t>
  </si>
  <si>
    <t>https://community.secop.gov.co/Public/Tendering/OpportunityDetail/Index?noticeUID=CO1.NTC.4349846&amp;isFromPublicArea=True&amp;isModal=False</t>
  </si>
  <si>
    <t>NELLY PRADA PEÑA</t>
  </si>
  <si>
    <t>14-46-101093229</t>
  </si>
  <si>
    <t>FDLF-CPS-277-2023</t>
  </si>
  <si>
    <t>FDLF-CD-277-2023 (89666)</t>
  </si>
  <si>
    <t>https://community.secop.gov.co/Public/Tendering/OpportunityDetail/Index?noticeUID=CO1.NTC.4355098&amp;isFromPublicArea=True&amp;isModal=False</t>
  </si>
  <si>
    <t xml:space="preserve">	PRESTARLOSSERVICIOSDEAPOYOCOMOAUXILIARADMINITRATIVOYOPERATIVOPARALAALCALDIALOCALDEFONTIBONENELMARCODEACTIVIDADESPARALAGESTIONDERESIDUOSRELACIONADASENELPROYECTO1772.</t>
  </si>
  <si>
    <t>MICHEL DARIO SANCHEZ SANTANA</t>
  </si>
  <si>
    <t>14-46-101093252</t>
  </si>
  <si>
    <t>FDLF-CPS-278-2023</t>
  </si>
  <si>
    <t>FDLF-CD-278-2023 (89513)</t>
  </si>
  <si>
    <t>https://community.secop.gov.co/Public/Tendering/OpportunityDetail/Index?noticeUID=CO1.NTC.4355391&amp;isFromPublicArea=True&amp;isModal=False</t>
  </si>
  <si>
    <t>PRESTARLOSSERVICIOSPROFESIONALESPARAAPOYARLAALCALDÍALOCALDEFONTIBÓNENTEMASRELACIONADOSCONRESTAURACIÓNECOLÓGICA,SIEMBRAYMANTENIMIENTODEARBOLADOURBANOENELMARCODELPROYECTODEINVERSIÒNNO1769</t>
  </si>
  <si>
    <t>DANIELA TERNERA AYA</t>
  </si>
  <si>
    <t>14-46-101093496</t>
  </si>
  <si>
    <t>FDLF-CPS-279-2023</t>
  </si>
  <si>
    <t>FDLF-CD-279-2023 (89573)</t>
  </si>
  <si>
    <t>https://community.secop.gov.co/Public/Tendering/OpportunityDetail/Index?noticeUID=CO1.NTC.4375859&amp;isFromPublicArea=True&amp;isModal=False</t>
  </si>
  <si>
    <t>PRESTARLOSSERVICIOSPROFESIONALESPARALAOPERACIÓN,SEGUIMIENTOYCUMPLIMIENTODELOSPROCESOSYPROCEDIMIENTOSDELSERVICIOAPOYOECONÓMICOTIPOC,REQUERIDOSPARAELOPORTUNOYADECUADOREGISTRO,CRUCEYREPORTEDELOSDATOSENELSISTEMAMISIONAL¿SIRBE,QUECONTRIBUYANALAGARANTÍADELOSDERECHOSDELAPOBLACIÓNMAYORENELMARCODELAPOLÍTICAPÚBLICASOCIALPARAELENVEJECIMIENTOYLAVEJEZENELDISTRITOCAPITALACARGODELAALCALDÍALOCAL.</t>
  </si>
  <si>
    <t>LEIDY TATIANA TARAZONA SILVA</t>
  </si>
  <si>
    <t>33-44-101238240</t>
  </si>
  <si>
    <t>FDLF-CPS-280-2023</t>
  </si>
  <si>
    <t>FDLF-CD-280-2023 (89599)</t>
  </si>
  <si>
    <t>https://community.secop.gov.co/Public/Tendering/OpportunityDetail/Index?noticeUID=CO1.NTC.4375855&amp;isFromPublicArea=True&amp;isModal=False</t>
  </si>
  <si>
    <t>PRESTARSERVICIOSPROFESIONALESPARAAPOYARLAFORMULACIÓN,SEGUIMIENTOYAPOYOALASUPERVISIÓNDELOSPROCESOSCONTRACTUALESDERIVADOSDELPROYECTODEINVERSIÓNNO.1768,ENELMARCODELASNECESIDADESDELAALCALDÍALOCALDEFONTIBÓN</t>
  </si>
  <si>
    <t>CLAUDIA GARZÓN SÁNCHEZ</t>
  </si>
  <si>
    <t>33-46-101050685</t>
  </si>
  <si>
    <t>SULY PAOLA CONTRERAS CRUZ</t>
  </si>
  <si>
    <t>14-46-101101071</t>
  </si>
  <si>
    <t>FDLF-CI-281-2023</t>
  </si>
  <si>
    <t>FDLF-CD-003-2023 (90220)</t>
  </si>
  <si>
    <t>https://community.secop.gov.co/Public/Tendering/OpportunityDetail/Index?noticeUID=CO1.NTC.4421772&amp;isFromPublicArea=True&amp;isModal=False</t>
  </si>
  <si>
    <t>AUNARESFUERZOSTÉCNICOS,ADMINISTRATIVOS,JURÍDICOSYFINANCIEROSPARALAIMPLEMENTACIÓNDELPROGRAMAJÓVENESALAU,PARAELACCESOYLAPERMANENCIADELASYLOSJÓVENES,ENLACIUDADDEBOGOTÁ,PARTICULARMENTEPARALOSJÓVENESDELALOCALIDADDEFONTIBÓN</t>
  </si>
  <si>
    <t xml:space="preserve">	AGENCIA DISTRITAL PARA LA EDUCACION SUPERIOR, LA CIENCIA Y LA TECNOLOGÍA "ATENEA"</t>
  </si>
  <si>
    <t>7 AÑOS</t>
  </si>
  <si>
    <t>FDLF-CPS-282-2023 (90042)</t>
  </si>
  <si>
    <t>FDLF-CD-282-2023 (90042)</t>
  </si>
  <si>
    <t>https://community.secop.gov.co/Public/Tendering/OpportunityDetail/Index?noticeUID=CO1.NTC.4428706&amp;isFromPublicArea=True&amp;isModal=False</t>
  </si>
  <si>
    <t>RAFAEL ANTONIO VELASQUEZ MAHECHA</t>
  </si>
  <si>
    <t>14-46-101094009</t>
  </si>
  <si>
    <t>FDLF-CPS-283-2023</t>
  </si>
  <si>
    <t>MÍNIMA CUANTÍA</t>
  </si>
  <si>
    <t>FDLF-MC-001-2023 (90337) INDUHOTEL S.A.SFDLF-MC-001-2023 (90337) INDUHOTEL S.A.S</t>
  </si>
  <si>
    <t>https://community.secop.gov.co/Public/Tendering/OpportunityDetail/Index?noticeUID=CO1.NTC.4409600&amp;isFromPublicArea=True&amp;isModal=False</t>
  </si>
  <si>
    <t>PRESTARELAPOYOLOGISTICOPARALAREALIZACIONDELASJORNADASDERENDICIONDECUENTASDELAALCALDIALOCAL.</t>
  </si>
  <si>
    <t>INDUHOTEL S A S</t>
  </si>
  <si>
    <t>NB-100261787</t>
  </si>
  <si>
    <t>3 MESES</t>
  </si>
  <si>
    <t>FDLF-CD-284-2023(89517)</t>
  </si>
  <si>
    <t>FDLF-CPS-284-2023</t>
  </si>
  <si>
    <t>https://community.secop.gov.co/Public/Tendering/OpportunityDetail/Index?noticeUID=CO1.NTC.4470774&amp;isFromPublicArea=True&amp;isModal=False</t>
  </si>
  <si>
    <t>PRESTARLOSSERVICIOSPROFESIONALESPARAAPOYARLAFORMULACIÓN,SEGUIMIENTOY/OSUPERVISIÓNDELOSPROCESOSCONTRACTUALESDERIVADOSDELPROYECTODEINVERSIÓN1759DELFONDODEDESARROLLOLOCALDEFONTIBÓN.</t>
  </si>
  <si>
    <t>ANDRÉS FELIPE MONTEALEGRE</t>
  </si>
  <si>
    <t>15-44-101280152</t>
  </si>
  <si>
    <t>FDLF-BPMC-285-2023</t>
  </si>
  <si>
    <t>SELECCION ABREVIADA POR BOLSA</t>
  </si>
  <si>
    <t>SELECION ABREVIDA POR BOLSA DE PRODUCTOS</t>
  </si>
  <si>
    <t>FDLF-BMC-001-2023 (89794)</t>
  </si>
  <si>
    <t>https://community.secop.gov.co/Public/Tendering/OpportunityDetail/Index?noticeUID=CO1.NTC.4502200&amp;isFromPublicArea=True&amp;isModal=False</t>
  </si>
  <si>
    <t>LAADQUISICIÓNATRAVESDELABOLSAMERCANTILDECOLOMBIA¿BMCDELSERVICIOPRESTACIONDELSERVICIODEVIGILANCIA,GUARDA,CUSTODIA,MONITOREODEALARMASYSEGURIDADPRIVADACONARMAS,MEDIOSTECNOLOGICOSYCONTROLDEACCESOPARALOSUSUARIOS,FUNCIONARIOSYPERSONASENGENERAL,MEDIANTEELESTABLECIMIENTODECONTROLDEINGRESOYSALIDADELASINSTALACIONESDELAENTIDAD,YPARALOSBIENESMUEBLESEINMUEBLESENLOSCUALESSEDESARROLLELAMISIONALIDADDELAALCALDIALOCALDEFONTIBONYDETODOSAQUELLOSPORLOSCUALESLLEGASEASERLEGALMENTERESPONSABLE</t>
  </si>
  <si>
    <t>COMISIONISTA AGROPECUARIO S.A.S COMIAGRO S.A-SEGURIDAD LAS AMERICAS LTDA</t>
  </si>
  <si>
    <t>800206442-8605188627</t>
  </si>
  <si>
    <t>15-44-101281162-1540101087789</t>
  </si>
  <si>
    <t>7 MESES Y 27 DIAS</t>
  </si>
  <si>
    <t>1172-1173</t>
  </si>
  <si>
    <t>FDLF-CPS-286-2023</t>
  </si>
  <si>
    <t>SELECCIÓN ABREVIADA DE MENOR CUANTÍA</t>
  </si>
  <si>
    <t>FDLF-SAMC-001-2023 (90579)</t>
  </si>
  <si>
    <t>https://community.secop.gov.co/Public/Tendering/OpportunityDetail/Index?noticeUID=CO1.NTC.4562199&amp;isFromPublicArea=True&amp;isModal=False</t>
  </si>
  <si>
    <t>CONTRATARELSERVICIODEDIAGNOSTICO,REPARACIONYPUESTAENFUNCIONAMIENTO,MANTENIMIENTOPREVENTIVOYCORRECTIVOCONSUMINISTRODEREPUESTOS,PARALACERTIFICACIÓNENCUMPLIMIENTODELANORMANTC-5926-1,DELASCENSORELECTROMECANICOGOLDSYSTEM,INSTALADOENELEDIFICIOUBICADOENLACARRERA99Nº19-43DELAALCALDIALOCALDEFONTIBÓN</t>
  </si>
  <si>
    <t>INGENIERIA DIGITAL SERVICE SAS</t>
  </si>
  <si>
    <t>15-44-101282615-           15-40-101088531                15-44-101281127</t>
  </si>
  <si>
    <t>FDLF-CPS-287-2023 (90225)</t>
  </si>
  <si>
    <t>FDLF-CD-287-2023 (90225)</t>
  </si>
  <si>
    <t>https://community.secop.gov.co/Public/Tendering/OpportunityDetail/Index?noticeUID=CO1.NTC.4492814&amp;isFromPublicArea=True&amp;isModal=False</t>
  </si>
  <si>
    <t>APOYARTÉCNICAMENTELASDISTINTASETAPASDELOSPROCESOSDECOMPETENCIADELAALCALDÍALOCALPARALADEPURACIÓNDEACTUACIONESADMINISTRATIVAS.DEACUERDOCONLOCONTEMPLADOENEL(LOS)PROYECTO(S)1784.</t>
  </si>
  <si>
    <t>SANDRA LUCÍA PARRA JIMÉNEZ</t>
  </si>
  <si>
    <t>3652231-3</t>
  </si>
  <si>
    <t xml:space="preserve">6 MESES Y 15 DÍAS </t>
  </si>
  <si>
    <t>ANDRES MAURICIO LOPERA QUINTERO</t>
  </si>
  <si>
    <t xml:space="preserve">	21-44-101420600</t>
  </si>
  <si>
    <t>FDLF-CPS-288-2023 (90225)</t>
  </si>
  <si>
    <t>FDLF-CD-288-2023 (90225)</t>
  </si>
  <si>
    <t>https://community.secop.gov.co/Public/Tendering/OpportunityDetail/Index?noticeUID=CO1.NTC.4492359&amp;isFromPublicArea=True&amp;isModal=False</t>
  </si>
  <si>
    <t>JEISON MAURICIO DIAZ RUBIO</t>
  </si>
  <si>
    <t>25-46-101028258</t>
  </si>
  <si>
    <t>FDLF-CPS-289-2023</t>
  </si>
  <si>
    <t>FDLF-CD-289-2023 (90008)</t>
  </si>
  <si>
    <t>https://community.secop.gov.co/Public/Tendering/OpportunityDetail/Index?noticeUID=CO1.NTC.4513215&amp;isFromPublicArea=True&amp;isModal=False</t>
  </si>
  <si>
    <t xml:space="preserve">	PRESTACIÓNDESERVICIOSPROFESIONALPARAEJECUTARYARTICULARLASACTIVIDADESDEPREVENCIÓNYPROMOCIÓNDELSISTEMADEGESTIÓNDELASEGURIDADYSALUDENELTRABAJOENLAALCALDÍALOCALDEFONTIBÓN</t>
  </si>
  <si>
    <t>JEIMMY PAOLA RONCANCIO CASALLAS</t>
  </si>
  <si>
    <t>14-46-101095367</t>
  </si>
  <si>
    <t>FDLF-CPS-290-2023</t>
  </si>
  <si>
    <t>FDLF-CD-290-2023 (90027)</t>
  </si>
  <si>
    <t>https://community.secop.gov.co/Public/Tendering/OpportunityDetail/Index?noticeUID=CO1.NTC.4504129&amp;isFromPublicArea=True&amp;isModal=False</t>
  </si>
  <si>
    <t xml:space="preserve">	PRESTARSERVICIOSTÉCNICOSDEAPOYOYASISTENCIAADMINISTRATIVAENLAGESTIÓNDELDESARROLLOLOCAL,PARAFORTALECERLASETAPASCONTRACTUALESDEACUERDOCONELPLANANUALDEADQUISICIONESDELAALCALDÍALOCALDEFONTIBÓN</t>
  </si>
  <si>
    <t>INGRID PAOLA LEON VELASQUEZ</t>
  </si>
  <si>
    <t>14-46-101094871</t>
  </si>
  <si>
    <t xml:space="preserve">6 MESES Y 25 DÍAS </t>
  </si>
  <si>
    <t>FDLF-CI-291-2023</t>
  </si>
  <si>
    <t>CONTRATO INTERADMINISTRATIVO</t>
  </si>
  <si>
    <t>FDLF-CD-004-2023(90995)</t>
  </si>
  <si>
    <t>https://community.secop.gov.co/Public/Tendering/OpportunityDetail/Index?noticeUID=CO1.NTC.4523378&amp;isFromPublicArea=True&amp;isModal=False</t>
  </si>
  <si>
    <t>DESARROLLARASPECTOSTÉCNICOS,FINANCIEROSYADMINISTRATIVOSPARALAIMPLEMENTACIÓNDE36PROCESOSCIUDADANOSDEEDUCACIÓNAMBIENTAL-PROCEDAPARALAVIGENCIA2023,QUESEADAPTENALOSCONTEXTOSSOCIALESYAMBIENTALESDELALOCALIDADDEFONTIBÓN</t>
  </si>
  <si>
    <t>UNIVERSIDAD NACIONAL DE COLOMBIA</t>
  </si>
  <si>
    <t>NB-100265724</t>
  </si>
  <si>
    <t>FDLF-CPS-292-2023</t>
  </si>
  <si>
    <t>FDLF-CI-005-2023 (90884)</t>
  </si>
  <si>
    <t>https://community.secop.gov.co/Public/Tendering/OpportunityDetail/Index?noticeUID=CO1.NTC.4534450&amp;isFromPublicArea=True&amp;isModal=False</t>
  </si>
  <si>
    <t>AUNARESFUERZOSADMINISTRATIVOS,TÉCNICOSFINANCIEROSYLOGÍSTICOSENTREPROPAISYELFONDODEDESARROLLOLOCALDEFONTIBONPARALACONSOLIDACIÓNYFORTALECIMIENTOECONÓMICODELOSEMPRENDIMIENTOSLOCALESATRAVÉSDELPROGRAMAIMPULSOLOCAL3.0</t>
  </si>
  <si>
    <t>CORPORACION PARA EL DESARROLLO DE LAS MICROEMPRESAS (PROPAIS)</t>
  </si>
  <si>
    <t>33-44101239329</t>
  </si>
  <si>
    <t>CONVENIO 471 DE 2023(INTERNO 293-2023 )</t>
  </si>
  <si>
    <t>ESDOP 591 DE 2023</t>
  </si>
  <si>
    <t>https://www.contratos.gov.co/consultas/detalleProceso.do?numConstancia=23-22-64191&amp;g-recaptcha-response=03AL8dmw9OXJOCe3Z-VuSCo-tgqn9VB5zPOnPsenQqJf0dI9BaIW_M4bwDD1FBWJlHUHDCnvlXy_dtwvdina_4DvabIt_7DID2vH8sWkoeJ0WtvMaZidgGG8x8vUWX7c0RFEbcu5qb9v8pht3woiZlumwzHP2zZsSTRmMzUFoV1gGQzDsF-JYKG5W6_xvO3JNr2jcV9Uzc8YLbKR08rZGLJrfPO4on4gJWyHt5DZm3ePUVn1FgHOIx_h9OoJjLYXFJOh7IjKpxjmRhjU_J-68KhIZxBKb_w95YKWT0pObS87_-hChsSxH9eHwiPuM1k3y4dYlL2Uyj3biVi7Gy608Jn_V8fEL87RWgZr47_tNHufCaKA7fgHMe6cYGrWuiFLlXgyhreWWA-TCrxebe436ngdKiqH_iRBKNRzSThXiT9mCYVXBHqNWuurjieILiSRuUgYmpUDPYpHZArczyfSJYQgXadd8j9PIJo2H1y_iHczBuObDGGKmA4KChJQrX1hNIuBbGZT3wltWLR9euyY4egYJzkhjNNj-zGo4alycZTxLHArUZfDk6gFBlehfPQweDr1BOQYWv0m1B</t>
  </si>
  <si>
    <t>AUNARESFUERZOSTÉCNICOS,ADMINISTRATIVOSYFINANCIEROSCONELFINDEDESARROLLARACCIONESARTICULADASENTRELASCRD,ELIDARTESYLOSFONDOSDEDESARROLLOLOCAL,ORIENTADASAFOMENTARPROCESOSDEFORMACIÓN,CUALIFICACIÓN,FORTALECIMIENTOYPARTICIPACIÓNDELOSAGENTESCULTURALESTERRITORIALESDELDISTRITOCAPITAL,ENELMARCODELACREACIÓN,COMERCIALIZACIÓN,APROPIACIÓNYCIRCULACIÓNDEBIENESYSERVICIOSCULTURALES,ARTÍSTICOSYPATRIMONIALES,DECONFORMIDADCONLASINICIATIVASPRIORIZADASENLAESTRATEGIADISTRITAL"PRESUPUESTOSPARTICIPATIVOS",LOSACUERDOSLOCALESOLASINICIATIVASCONCERTADASCONLOSPUEBLOSÉTNICOSYGRUPOSDEINTERÉSDELOSTERRITORIOSYALASACCIONESADELANTADASENEL“PROCESOMISIONALDEFOMENTO”,DEACUERDOCONLOSPROYECTOSAEJECUTARASOCIADOSALASMETASDECADALOCALIDADENELPROGRAMA"ESCULTURALOCAL2023"</t>
  </si>
  <si>
    <t>SECRETARÍA DISTRITAL DE CULTURA, RECREACIÓN Y DEPORTE -SCRD-</t>
  </si>
  <si>
    <t>1135-1136</t>
  </si>
  <si>
    <t>15 MESES</t>
  </si>
  <si>
    <t>1136-1137</t>
  </si>
  <si>
    <t>FDLF-CPS-294-2023</t>
  </si>
  <si>
    <t>FDLF-MC-002-2023 (90607)</t>
  </si>
  <si>
    <t>https://community.secop.gov.co/Public/Tendering/OpportunityDetail/Index?noticeUID=CO1.NTC.4546913&amp;isFromPublicArea=True&amp;isModal=False</t>
  </si>
  <si>
    <t xml:space="preserve">REALIZARELMANTENIMIENTOPREVENTIVOYCORRECTIVOCONBOLSADEREPUESTOSPARALAPLANTAELÉCTRICAYPARALOSEQUIPOSQUECOMPONENELSISTEMADEPRESIÓNDEAGUAPOTABLE,LAVADO,DESINFECCIÓNEIMPERMEABILIZACIÓNTANQUESELEVADOSYSUBTERRÁNEODETODASLASSEDESDELAALCALDÍALOCALDEFONTIBÓN	</t>
  </si>
  <si>
    <t>ALL TECHNOLOGICAL SERVICES ATS S.A.S.</t>
  </si>
  <si>
    <t>62-40-101010226-62-44-101018064</t>
  </si>
  <si>
    <t>FDLF-CPS-295-2023 (91054)</t>
  </si>
  <si>
    <t>FDLF-CD-295-2023 (91054)</t>
  </si>
  <si>
    <t>https://community.secop.gov.co/Public/Tendering/OpportunityDetail/Index?noticeUID=CO1.NTC.4616670&amp;isFromPublicArea=True&amp;isModal=False</t>
  </si>
  <si>
    <t>PRESTARSERVICIOSDEAPOYOENLASACTIVIDADESDEINSPECCIÓN,VIGILANCIAYCONTROLENESPACIOPÚBLICO,DEACUERDOCONLASNECESIDADESYESTRATEGIASEMANADASDESDELAALCALDÍALOCALDEFONTIBÓN</t>
  </si>
  <si>
    <t>YEIMY PAOLA MARTINEZ MALDONADO</t>
  </si>
  <si>
    <t>21-46-101071106</t>
  </si>
  <si>
    <t>6 MESES</t>
  </si>
  <si>
    <t>FDLF-CPS-296-2023 (91054)</t>
  </si>
  <si>
    <t>FDLF-CD-296-2023 (91054)</t>
  </si>
  <si>
    <t>https://community.secop.gov.co/Public/Tendering/OpportunityDetail/Index?noticeUID=CO1.NTC.4616853&amp;isFromPublicArea=True&amp;isModal=False</t>
  </si>
  <si>
    <t>JUAN ANDRES SANCHEZ BARINAS</t>
  </si>
  <si>
    <t>33-46-101052019</t>
  </si>
  <si>
    <t>FDLF-CPS-297-2023</t>
  </si>
  <si>
    <t>FDLF-CD-297-2023 (90279)</t>
  </si>
  <si>
    <t>https://community.secop.gov.co/Public/Tendering/OpportunityDetail/Index?noticeUID=CO1.NTC.4544014&amp;isFromPublicArea=True&amp;isModal=False</t>
  </si>
  <si>
    <t>PRESTACIÓNDESERVICIOSPROFESIONALPARAEJECUTARYARTICULARLASACTIVIDADESDEPREVENCIÓNYPROMOCIÓNDELSISTEMADEGESTIÓNDELASEGURIDADYSALUDENELTRABAJOENLAALCALDÍALOCALDEFONTIBÓN</t>
  </si>
  <si>
    <t>MARIA VALENTINA CRUZ ESPITIA</t>
  </si>
  <si>
    <t>14-46-101095517</t>
  </si>
  <si>
    <t>FDLF-CPS-298-2023</t>
  </si>
  <si>
    <t>FDLF-CD-298-2023(90593)</t>
  </si>
  <si>
    <t>https://community.secop.gov.co/Public/Tendering/OpportunityDetail/Index?noticeUID=CO1.NTC.4555682&amp;isFromPublicArea=True&amp;isModal=False</t>
  </si>
  <si>
    <t xml:space="preserve">
PRESTARSERVICIOSPROFESIONALESPARAAPOYARLAGESTIÓNDEPROCESOS,PROCEDIMIENTOSYTRÁMITESDECARÁCTERPRESUPUESTAL.</t>
  </si>
  <si>
    <t>CAMILO ANDRÉS PINZÓN VELASCO</t>
  </si>
  <si>
    <t>21-46-101069968</t>
  </si>
  <si>
    <t>FDLF-CPS-299-2023</t>
  </si>
  <si>
    <t>FDLF-CD-299-2023 (90717)</t>
  </si>
  <si>
    <t>https://community.secop.gov.co/Public/Tendering/OpportunityDetail/Index?noticeUID=CO1.NTC.4566578&amp;isFromPublicArea=True&amp;isModal=False</t>
  </si>
  <si>
    <t>PRESTARSERVICIOSDEAPOYOOPERATIVOPARALASACTIVIDADESRELACIONADASCONELMANTENIMIENTOYREPARACIONESMENORESDELASEDEYDEAPOYOOPERATIVOALOSPROYECTOSDELAALCALDÍALOCALDEFONTIBÓN</t>
  </si>
  <si>
    <t>14-46-101095543</t>
  </si>
  <si>
    <t>FDLF-CPS-300-2023</t>
  </si>
  <si>
    <t>FDLF-CD-300-2023 (90717)</t>
  </si>
  <si>
    <t>https://community.secop.gov.co/Public/Tendering/OpportunityDetail/Index?noticeUID=CO1.NTC.4566019&amp;isFromPublicArea=True&amp;isModal=False</t>
  </si>
  <si>
    <t xml:space="preserve">PRESTARSERVICIOSDEAPOYOOPERATIVOPARALASACTIVIDADESRELACIONADASCONELMANTENIMIENTOYREPARACIONESMENORESDELASEDEYDEAPOYOOPERATIVOALOSPROYECTOSDELAALCALDÍALOCALDEFONTIBÓN	</t>
  </si>
  <si>
    <t xml:space="preserve">14-44-101184957 </t>
  </si>
  <si>
    <t>FDLF-CPS-301-2023</t>
  </si>
  <si>
    <t>FDLF-CD-301-2023 (90717)</t>
  </si>
  <si>
    <t>https://community.secop.gov.co/Public/Tendering/OpportunityDetail/Index?noticeUID=CO1.NTC.4565954&amp;isFromPublicArea=True&amp;isModal=False</t>
  </si>
  <si>
    <t>21-46-101070132</t>
  </si>
  <si>
    <t>FDLF-CPS-302-2023</t>
  </si>
  <si>
    <t>FDLF-CD-302-2023 (90716)</t>
  </si>
  <si>
    <t>https://community.secop.gov.co/Public/Tendering/OpportunityDetail/Index?noticeUID=CO1.NTC.4566347&amp;isFromPublicArea=True&amp;isModal=False</t>
  </si>
  <si>
    <t>FDLF-CPS-303-2023 (91054)</t>
  </si>
  <si>
    <t>FDLF-CD-303-2023 (91054)</t>
  </si>
  <si>
    <t xml:space="preserve">https://community.secop.gov.co/Public/Tendering/OpportunityDetail/Index?noticeUID=CO1.NTC.4616497&amp;isFromPublicArea=True&amp;isModal=False
</t>
  </si>
  <si>
    <t>aPRESTARSERVICIOSDEAPOYOENLASACTIVIDADESDEINSPECCIÓN,VIGILANCIAYCONTROLENESPACIOPÚBLICO,DEACUERDOCONLASNECESIDADESYESTRATEGIASEMANADASDESDELAALCALDÍALOCALDEFONTIBÓN</t>
  </si>
  <si>
    <t>DAVID FAUSTINO MENDOZA CASTAÑO</t>
  </si>
  <si>
    <t xml:space="preserve"> 14-46-101096106</t>
  </si>
  <si>
    <t>FDLF-CPS-304-2023 (91054)</t>
  </si>
  <si>
    <t>FDLF-CD-304-2023 (91054)</t>
  </si>
  <si>
    <t>https://community.secop.gov.co/Public/Tendering/ContractNoticePhases/View?PPI=CO1.PPI.25618295&amp;isFromPublicArea=True&amp;isModal=False</t>
  </si>
  <si>
    <t>EDISON FERNANDO GONZALEZ AMAYA</t>
  </si>
  <si>
    <t>18-46-101019285</t>
  </si>
  <si>
    <t>FDLF-CPS-305-2023 (91054)</t>
  </si>
  <si>
    <t>FDLF-CD-305-2023 (91054)</t>
  </si>
  <si>
    <t>https://community.secop.gov.co/Public/Tendering/OpportunityDetail/Index?noticeUID=CO1.NTC.4598273&amp;isFromPublicArea=True&amp;isModal=False</t>
  </si>
  <si>
    <t>DIANA VELANDIA RISCANEVO</t>
  </si>
  <si>
    <t>14-46-101096001</t>
  </si>
  <si>
    <t>FDLF-CD-306-2023 (90761)</t>
  </si>
  <si>
    <t xml:space="preserve">https://community.secop.gov.co/Public/Tendering/OpportunityDetail/Index?noticeUID=CO1.NTC.4616751&amp;isFromPublicArea=True&amp;isModal=False
</t>
  </si>
  <si>
    <t>14-46-101096197</t>
  </si>
  <si>
    <t>FDLF-CPS-307-2023 (90761)</t>
  </si>
  <si>
    <t>FDLF-CD-307-2023 (90761)</t>
  </si>
  <si>
    <t xml:space="preserve">https://community.secop.gov.co/Public/Tendering/OpportunityDetail/Index?noticeUID=CO1.NTC.4616860&amp;isFromPublicArea=True&amp;isModal=False
</t>
  </si>
  <si>
    <t>39-46-101009102</t>
  </si>
  <si>
    <t>FDLF-CPS-308-2023</t>
  </si>
  <si>
    <t>FDLF-CD-308-2023(91467)</t>
  </si>
  <si>
    <t>https://community.secop.gov.co/Public/Tendering/OpportunityDetail/Index?noticeUID=CO1.NTC.4623725&amp;isFromPublicArea=True&amp;isModal=False</t>
  </si>
  <si>
    <t>PRESTARLOSSERVICIOSPROFESIONALESPARAELSEGUIMIENTOYAPOYOENLAFORMULACIÓNDELOSPROYECTOSDEINVERSIÓNQUEGUARDANRELACIÒNCONELSECTORCULTURALYCREATIVO</t>
  </si>
  <si>
    <t>JASA REHM SUÁREZ AZA</t>
  </si>
  <si>
    <t>14-46-101096138</t>
  </si>
  <si>
    <t>FDLF-CPS-309-2023</t>
  </si>
  <si>
    <t>FDLF-CD-309-2023 (90707)</t>
  </si>
  <si>
    <t>https://community.secop.gov.co/Public/Tendering/OpportunityDetail/Index?noticeUID=CO1.NTC.4621816&amp;isFromPublicArea=True&amp;isModal=False</t>
  </si>
  <si>
    <t>14-44-101186159</t>
  </si>
  <si>
    <t>FDLF-CPS-310-2023</t>
  </si>
  <si>
    <t>FDLF-CD-310-2023 (91451)</t>
  </si>
  <si>
    <t>https://community.secop.gov.co/Public/Tendering/OpportunityDetail/Index?noticeUID=CO1.NTC.4621817&amp;isFromPublicArea=True&amp;isModal=False</t>
  </si>
  <si>
    <t xml:space="preserve">APOYARADMINISTRATIVAYASISTENCIALMENTEALASINSPECCIONESDEPOLICÍADELALOCALIDAD	</t>
  </si>
  <si>
    <t>VICTOR ALFONSO GALINDO OSORIO</t>
  </si>
  <si>
    <t>21-46-101071453</t>
  </si>
  <si>
    <t>FDLF-CPS-311-2023 (90761)</t>
  </si>
  <si>
    <t>FDLF-CD-311-2023 (90761)</t>
  </si>
  <si>
    <t xml:space="preserve">https://community.secop.gov.co/Public/Tendering/OpportunityDetail/Index?noticeUID=CO1.NTC.4621838&amp;isFromPublicArea=True&amp;isModal=False
</t>
  </si>
  <si>
    <t>aPRESTARSERVICIOSDEAPOYOENLASACTIVIDADESDEACOMPAÑAMIENTO,CONTROLYORGANIZACIÓNLOGISTICAPARALASACTIVIDADESYESTRATEGIASGENERADASPORLAALCALDÍALOCALDEFONTIBON</t>
  </si>
  <si>
    <t>15-44-101281528</t>
  </si>
  <si>
    <t>FDLF-CPS-312-2023 (90761)</t>
  </si>
  <si>
    <t>FDLF-CD-312-2023 (90761)</t>
  </si>
  <si>
    <t xml:space="preserve">https://community.secop.gov.co/Public/Tendering/OpportunityDetail/Index?noticeUID=CO1.NTC.4621731&amp;isFromPublicArea=True&amp;isModal=False
</t>
  </si>
  <si>
    <t>ANDREA STEFANIA CARREÑO MORALES</t>
  </si>
  <si>
    <t>15-44-101281531</t>
  </si>
  <si>
    <t>FDLF-CPS-313-2023</t>
  </si>
  <si>
    <t>FDLF-CD-313-2023 (91449)</t>
  </si>
  <si>
    <t>https://community.secop.gov.co/Public/Tendering/OpportunityDetail/Index?noticeUID=CO1.NTC.4642643&amp;isFromPublicArea=True&amp;isModal=False</t>
  </si>
  <si>
    <t>PRESTARSERVICIOSPROFESIONALESPARAAPOYARLAFORMULACIÓNDEESTRATEGIASCOMUNICATIVASRELACIONADASCONELTEMADEMUJER,GÉNEROYPOBLACIONESDIVERSAS."</t>
  </si>
  <si>
    <t>VALERIA DURAN DIAZ</t>
  </si>
  <si>
    <t>21-46-101071508</t>
  </si>
  <si>
    <t>22 DIAS</t>
  </si>
  <si>
    <t>FDLF-CPS-314-2023</t>
  </si>
  <si>
    <t>FDLF-CD-314-2023 (91278)</t>
  </si>
  <si>
    <t>https://community.secop.gov.co/Public/Tendering/OpportunityDetail/Index?noticeUID=CO1.NTC.4636002&amp;isFromPublicArea=True&amp;isModal=False</t>
  </si>
  <si>
    <t>PRESTARLOSSERVICIOSPROFESIONALESALAALCALDÍALOCALDEFONTIBÓN,PARALAFORMULACIÓN,EVALUACIÓN,SEGUIMIENTOYAPOYOALASUPERVISIÓNDELPROYECTODEVÍCTIMASDELCONFLICTO,ASÍCOMOLAIMPLEMENTACIÓNDELASPOLÍTICASPÚBLICASDEVÍCTIMASYGRUPOSÉTNICOSYDEMÁSPROCESOSQUESEADELANTENAFAVORDEDICHASPOBLACIONESENLALOCALIDADDEFONTIBÓN</t>
  </si>
  <si>
    <t>14-46-101096210</t>
  </si>
  <si>
    <t>FDLF-CPS-315-2023</t>
  </si>
  <si>
    <t>FDLF-CD-315-2023 (90761)</t>
  </si>
  <si>
    <t xml:space="preserve">https://community.secop.gov.co/Public/Tendering/OpportunityDetail/Index?noticeUID=CO1.NTC.4632459&amp;isFromPublicArea=True&amp;isModal=False
</t>
  </si>
  <si>
    <t xml:space="preserve">LUZ DARY IBARRA ROJAS </t>
  </si>
  <si>
    <t>15-44-101281524</t>
  </si>
  <si>
    <t>FDLF-CPS-316-2023</t>
  </si>
  <si>
    <t>FDLF-CD-316-2023(91508)</t>
  </si>
  <si>
    <t>https://community.secop.gov.co/Public/Tendering/OpportunityDetail/Index?noticeUID=CO1.NTC.4637110&amp;isFromPublicArea=True&amp;isModal=False</t>
  </si>
  <si>
    <t>PRESTARLOSSERVICIOSDEMOTORIZADOPARAAPOYARLASLABORESDEENTREGAYRECIBODELASCOMUNICACIONESEMITIDASORECIBIDASPORLAALCALDÍALOCALDEFONTIBÓN.</t>
  </si>
  <si>
    <t>ALFONSO LAVERDE NIVIA</t>
  </si>
  <si>
    <t>14-46-101096253</t>
  </si>
  <si>
    <t>FDLF-CPS-317-2023</t>
  </si>
  <si>
    <t>FDLF-CD-317-2023 (90684)</t>
  </si>
  <si>
    <t>https://community.secop.gov.co/Public/Tendering/OpportunityDetail/Index?noticeUID=CO1.NTC.4639930&amp;isFromPublicArea=True&amp;isModal=False</t>
  </si>
  <si>
    <t>FDLF-CPS-318-2023</t>
  </si>
  <si>
    <t>FDLF-CD-318-2023(90713)</t>
  </si>
  <si>
    <t>https://community.secop.gov.co/Public/Tendering/OpportunityDetail/Index?noticeUID=CO1.NTC.4645702&amp;isFromPublicArea=True&amp;isModal=False</t>
  </si>
  <si>
    <t>PRESTARSERVICIOSDEAPOYOTÉCNICOPARALAOPERACIÓN,SEGUIMIENTOYCUMPLIMIENTODELOSPROCESOSYPROCEDIMIENTOSDELAALCALDÍALOCALDEFONTIBÓNORIENTADOSALCUMPLIMIENTODELASMETASDELPROYECTODEINVERSIÓNNo1761</t>
  </si>
  <si>
    <t xml:space="preserve">JOSE LUIS BELTRAN CAMARGO </t>
  </si>
  <si>
    <t>14-44101186736</t>
  </si>
  <si>
    <t>FDLF-CPS-319-2023</t>
  </si>
  <si>
    <t>FDLF-CD-319-2023 (90782)</t>
  </si>
  <si>
    <t>https://community.secop.gov.co/Public/Tendering/OpportunityDetail/Index?noticeUID=CO1.NTC.4642552&amp;isFromPublicArea=True&amp;isModal=False</t>
  </si>
  <si>
    <t>21-46-101071536</t>
  </si>
  <si>
    <t>FDLF-CPS-320-2023</t>
  </si>
  <si>
    <t>FDLF-CD-320-2023 (90782)</t>
  </si>
  <si>
    <t>FDLF-CPS-321-2023</t>
  </si>
  <si>
    <t>FDLF-CD-321-2023 (91449)</t>
  </si>
  <si>
    <t>https://community.secop.gov.co/Public/Tendering/OpportunityDetail/Index?noticeUID=CO1.NTC.4642551&amp;isFromPublicArea=True&amp;isModal=False</t>
  </si>
  <si>
    <t xml:space="preserve">	PRESTARSERVICIOSPROFESIONALESPARAELAPOYOTECNICOENPROCESOSDEPARTICIPACIÓNCIUDADANA,PRESUPUESTOSPARTICIPATIVOSSOBREJUNTASDEACCIÓNCOMUNALYPROPIEDADHORIZONTAL</t>
  </si>
  <si>
    <t>CAMILO ANDRES VALENCIA</t>
  </si>
  <si>
    <t>21-46-101071545</t>
  </si>
  <si>
    <t>6 MSES</t>
  </si>
  <si>
    <t>JUAN CAMILO NUÑEZ RIVERA</t>
  </si>
  <si>
    <t xml:space="preserve">	380-47-994000137308</t>
  </si>
  <si>
    <t>FDLF-CPS-322-2023</t>
  </si>
  <si>
    <t>FDLF-CD-322-2023 (90690)</t>
  </si>
  <si>
    <t>https://community.secop.gov.co/Public/Tendering/OpportunityDetail/Index?noticeUID=CO1.NTC.4637905&amp;isFromPublicArea=True&amp;isModal=False</t>
  </si>
  <si>
    <t>JHAISON LEONARDO CIFUENTES ARIAS</t>
  </si>
  <si>
    <t>21-46-101071291</t>
  </si>
  <si>
    <t>FDLF-CPS-323-2023</t>
  </si>
  <si>
    <t>FDLF-CD-323-2023 (90690)</t>
  </si>
  <si>
    <t>https://community.secop.gov.co/Public/Tendering/OpportunityDetail/Index?noticeUID=CO1.NTC.4645422&amp;isFromPublicArea=True&amp;isModal=False</t>
  </si>
  <si>
    <t>21-46-101071486</t>
  </si>
  <si>
    <t>FDLF-CPS-324-2023</t>
  </si>
  <si>
    <t>FDLF-CD-324-2023 (90761)</t>
  </si>
  <si>
    <t xml:space="preserve">https://community.secop.gov.co/Public/Tendering/OpportunityDetail/Index?noticeUID=CO1.NTC.4637542&amp;isFromPublicArea=True&amp;isModal=False
</t>
  </si>
  <si>
    <t>15-44-101281597</t>
  </si>
  <si>
    <t>FDLF-CPS-325-2023</t>
  </si>
  <si>
    <t>FDLF-CD-325-2023(90779)</t>
  </si>
  <si>
    <t>https://community.secop.gov.co/Public/Tendering/OpportunityDetail/Index?noticeUID=CO1.NTC.4644564&amp;isFromPublicArea=True&amp;isModal=False</t>
  </si>
  <si>
    <t>DEIBYS ALEXANDER VÁRGAS LEÓN</t>
  </si>
  <si>
    <t>14-46-101096258</t>
  </si>
  <si>
    <t>FDLF-CPS-326-2023</t>
  </si>
  <si>
    <t>FDLF-CD-326-2023(90779)</t>
  </si>
  <si>
    <t>https://community.secop.gov.co/Public/Tendering/OpportunityDetail/Index?noticeUID=CO1.NTC.4644632&amp;isFromPublicArea=True&amp;isModal=False</t>
  </si>
  <si>
    <t xml:space="preserve">LUIS GERARDO VÁSQUEZ </t>
  </si>
  <si>
    <t>14-46-101096380</t>
  </si>
  <si>
    <t>FDLF-CPS-327-2023</t>
  </si>
  <si>
    <t>FDLF-CD-327-2023 (90709)</t>
  </si>
  <si>
    <t>https://community.secop.gov.co/Public/Tendering/OpportunityDetail/Index?noticeUID=CO1.NTC.4653599&amp;isFromPublicArea=True&amp;isModal=False</t>
  </si>
  <si>
    <t xml:space="preserve">PAOLA ANDREA PEREZ REINA </t>
  </si>
  <si>
    <t>14-46-101096358</t>
  </si>
  <si>
    <t>FDLF-CPS-328-2023</t>
  </si>
  <si>
    <t>FDLF-CD-328-2023 (90709)</t>
  </si>
  <si>
    <t>https://community.secop.gov.co/Public/Tendering/OpportunityDetail/Index?noticeUID=CO1.NTC.4654502&amp;isFromPublicArea=True&amp;isModal=False</t>
  </si>
  <si>
    <t xml:space="preserve">JENNIFER DANIELA CAMPOS ROZO </t>
  </si>
  <si>
    <t>17-44-101211183</t>
  </si>
  <si>
    <t>FDLF-CPS-329-2023</t>
  </si>
  <si>
    <t>FDLF-CD-329-2023 (90784)</t>
  </si>
  <si>
    <t>https://community.secop.gov.co/Public/Tendering/OpportunityDetail/Index?noticeUID=CO1.NTC.4645996&amp;isFromPublicArea=True&amp;isModal=False</t>
  </si>
  <si>
    <t xml:space="preserve">WENDY JOHANA HERNÁNDEZ LEÓN </t>
  </si>
  <si>
    <t>14-46-101096313</t>
  </si>
  <si>
    <t>FDLF-CPS-330-2023</t>
  </si>
  <si>
    <t>FDLF-CD-330-2023 (90690)</t>
  </si>
  <si>
    <t>https://community.secop.gov.co/Public/Tendering/OpportunityDetail/Index?noticeUID=CO1.NTC.4646397&amp;isFromPublicArea=True&amp;isModal=False</t>
  </si>
  <si>
    <t>JESSICA MILENA MARTÍNEZ RIVERA</t>
  </si>
  <si>
    <t>21-46-101071571</t>
  </si>
  <si>
    <t>FDLF-CPS-331-2023</t>
  </si>
  <si>
    <t>FDLF-CD-331-2023 (90690)</t>
  </si>
  <si>
    <t>https://community.secop.gov.co/Public/Tendering/OpportunityDetail/Index?noticeUID=CO1.NTC.4648892&amp;isFromPublicArea=True&amp;isModal=False</t>
  </si>
  <si>
    <t>JOHAN MANUEL RAMOS RODRÍGUEZ</t>
  </si>
  <si>
    <t>21-46-101071493</t>
  </si>
  <si>
    <t>FDLF-CPS-332-2023</t>
  </si>
  <si>
    <t>FDLF-CD-332-2023 (90690)</t>
  </si>
  <si>
    <t>https://community.secop.gov.co/Public/Tendering/OpportunityDetail/Index?noticeUID=CO1.NTC.4645999&amp;isFromPublicArea=True&amp;isModal=False</t>
  </si>
  <si>
    <t>CARLOS JULIO GORDILLO</t>
  </si>
  <si>
    <t>21-46-101071503</t>
  </si>
  <si>
    <t>FDLF-CPS-333-2023</t>
  </si>
  <si>
    <t>FDLF-CD-333-2023 (90690)</t>
  </si>
  <si>
    <t>https://community.secop.gov.co/Public/Tendering/OpportunityDetail/Index?noticeUID=CO1.NTC.4649102&amp;isFromPublicArea=True&amp;isModal=False</t>
  </si>
  <si>
    <t>21-46-101071593</t>
  </si>
  <si>
    <t>FDLF-CPS-334-2023</t>
  </si>
  <si>
    <t>FDLF-CD-334-2023 (90690)</t>
  </si>
  <si>
    <t>https://community.secop.gov.co/Public/Tendering/OpportunityDetail/Index?noticeUID=CO1.NTC.4649239&amp;isFromPublicArea=True&amp;isModal=False</t>
  </si>
  <si>
    <t>14-46-101096267</t>
  </si>
  <si>
    <t>FDLF-CPS-335-2023</t>
  </si>
  <si>
    <t>FDLF-CD-335-2023 (90765)</t>
  </si>
  <si>
    <t>https://community.secop.gov.co/Public/Tendering/OpportunityDetail/Index?noticeUID=CO1.NTC.4648954&amp;isFromPublicArea=True&amp;isModal=False</t>
  </si>
  <si>
    <t>PRESTARSERVICIOSPROFESIONALESPARAAPOYARLAFORMULACIÓNDEESTRATEGIASCOMUNICATIVASRELACIONADASCONELTEMADEMUJER,GÉNEROYPOBLACIONESDIVERSAS</t>
  </si>
  <si>
    <t>MARIA ESTEFANY SERNA VILLEGAS</t>
  </si>
  <si>
    <t>14-46-101096348</t>
  </si>
  <si>
    <t>FDLF-CPS-336-2023</t>
  </si>
  <si>
    <t>FDLF-CD-336-2023 (91054)</t>
  </si>
  <si>
    <t xml:space="preserve">https://community.secop.gov.co/Public/Tendering/OpportunityDetail/Index?noticeUID=CO1.NTC.4648989&amp;isFromPublicArea=True&amp;isModal=False
</t>
  </si>
  <si>
    <t>JONATHAN DAVID AGUILAR DUARTE</t>
  </si>
  <si>
    <t>14-46-101096373</t>
  </si>
  <si>
    <t>FDLF-CPS-337-2023</t>
  </si>
  <si>
    <t>FDLF-CD-337-2023 (91054)</t>
  </si>
  <si>
    <t xml:space="preserve">https://community.secop.gov.co/Public/Tendering/OpportunityDetail/Index?noticeUID=CO1.NTC.4649615&amp;isFromPublicArea=True&amp;isModal=False
</t>
  </si>
  <si>
    <t>NANCY YINETH MUNEVAR GUERRERO</t>
  </si>
  <si>
    <t>21-46-101072094</t>
  </si>
  <si>
    <t>FDLF-CPS-338-2023</t>
  </si>
  <si>
    <t>FDLF-CD-338-2023 (91054)</t>
  </si>
  <si>
    <t xml:space="preserve">https://community.secop.gov.co/Public/Tendering/OpportunityDetail/Index?noticeUID=CO1.NTC.4648558&amp;isFromPublicArea=True&amp;isModal=False
</t>
  </si>
  <si>
    <t>FABIAN DARIO GUERRA GONZALEZ</t>
  </si>
  <si>
    <t>14-46-101096280</t>
  </si>
  <si>
    <t>FDLF-CPS-339-2023</t>
  </si>
  <si>
    <t>FDLF-CD-339-2023(91897)</t>
  </si>
  <si>
    <t>https://community.secop.gov.co/Public/Tendering/OpportunityDetail/Index?noticeUID=CO1.NTC.4654341&amp;isFromPublicArea=True&amp;isModal=False</t>
  </si>
  <si>
    <t>PRESTARSERVICIOSCOMOPROFESIONALESPECIALIZADOSPARALAFORMULACIÓNYSEGUIMIENTOALOSPLANES,REQUERIMIENTOS,PROGRAMASYPROYECTOSPARAELCUMPLIMIENTODELASMETASDELPLANDEDESARROLLOLOCALDEFONTIBÓN</t>
  </si>
  <si>
    <t>ADRIANA KATHERINE MUNAR APONTE</t>
  </si>
  <si>
    <t>15-46-101034553</t>
  </si>
  <si>
    <t>FDLF-CPS-340-2023</t>
  </si>
  <si>
    <t>FDLF-CD-340-2023 (90761)</t>
  </si>
  <si>
    <t>https://community.secop.gov.co/Public/Tendering/OpportunityDetail/Index?noticeUID=CO1.NTC.4653914&amp;isFromPublicArea=True&amp;isModal=False</t>
  </si>
  <si>
    <t>PRESTARSERVICIOSDEAPOYOENLASACTIVIDADESDEACOMPAÑAMIENTO,CONTROLYORGANIZACIÓNLOGISTICAPARALASACTIVIDADESYESTRATEGIASGENERADASPORLAALCALDÍALOCALDEFONTIBON.</t>
  </si>
  <si>
    <t>SNEYDER DAVID CASTILLO BARRERA</t>
  </si>
  <si>
    <t>33-46-101052286</t>
  </si>
  <si>
    <t>CONVENIO 4140000-695 (INTERNO FDLF-CI-341-2023)</t>
  </si>
  <si>
    <t>SGA-CD-673-2023</t>
  </si>
  <si>
    <t>https://www.contratos.gov.co/consultas/detalleProceso.do?numConstancia=23-22-68850&amp;g-recaptcha-response=03AAYGu2RMwOgGdYxBkYprwYiYfuYVbP0Bffj8QlWFQBtEAlKWZ0Rl7cC1PbnC_hXF8dP2r1tLjfjHlZco_Ew5dhSfYDYakZFWc4FN7A1lK2YaJOMp6WuS87rtBXOWZOGL1kzRYjIsD7sTWJh8nFt7gJXXIvyGQ5lzObFT-AY4FApsiMLjpJ95LrzQ5BI5neI8tIwPSunhW3qRf_v0fPaCdAvqi5UtIHKiMI4YhqZRt6D0Ove6PVQzTybfFhgbO25juM8dChcdUB3nZ2LwgWRIo0PZN1xBjQzwBK-qLaCtlFxWhwMUJpgTYPPJdmkimpfcjdmbXfJvmIIpto9YrNNQwXsYu8elIILajgnQOP8Mw5pyAqJ3f4UYLdnUGwgSg9eFtBYzoJ7qxob7CGgptIuTHIBRLlnuB4MQaS-uh6o1LUcMfRUGjoV96GGZRm0ne1dwcotgejDU1Tj9KuXdGu6mFF2Z_FrMHE8L4apm4Ys3-ZjItwW87ZITuIkr_RFIgs2-f7BrDJY_TDXOV9Td3eyS6r4YaYBFLAxDZDwHAy1WVyXoLspkKtO6kzluBn6av6TJw15FzCM5UTMPApKZgv8eudPExrta3-m-zABIJpjvfD7iKCdiAwr_ivw</t>
  </si>
  <si>
    <t xml:space="preserve">
PRESTAR LOS SERVICIOS DE PLANEACIÓN, EJECUCIÓN Y DIVULGACIÓN DE LAS ACTIVIDADES A DESARROLLARSE EN EL MARCO DE LA ACCIÓN DE CIUDAD NAVIDAD 2023 Y LA GENERACIÓN DE LOS ENTORNOS LUMÍNICOS Y DE DIFUSIÓN DE LOS ACTOS PRINCIPALES QUE HARÁN PARTE DE LA ESTRATEGIA COMUNICACIONAL DE LA ADMINISTRACIÓN DISTRITAL.</t>
  </si>
  <si>
    <t>CANAL CAPITAL</t>
  </si>
  <si>
    <t>FDLF-CPS-342-2023</t>
  </si>
  <si>
    <t>FDLF-CD-342-2023 (91457)</t>
  </si>
  <si>
    <t>https://community.secop.gov.co/Public/Tendering/OpportunityDetail/Index?noticeUID=CO1.NTC.4659588&amp;isFromPublicArea=True&amp;isModal=False</t>
  </si>
  <si>
    <t>PRESTARSERVICIOSPROFESIONALESPARAELAPOYOTECNICOENPROCESOSDEPARTICIPACIÓNCIUDADANA,PRESUPUESTOSPARTICIPATIVOSSOBREJUNTASDEACCIÓNCOMUNALYPROPIEDADHORIZONTAL</t>
  </si>
  <si>
    <t>ANGELA MARIA DIAZ NIAMPIRA</t>
  </si>
  <si>
    <t>21-44-101417683</t>
  </si>
  <si>
    <t>COMODATOS</t>
  </si>
  <si>
    <t>FDLF-CD-343-2023(92258)</t>
  </si>
  <si>
    <t>https://community.secop.gov.co/Public/Tendering/OpportunityDetail/Index?noticeUID=CO1.NTC.4660621&amp;isFromPublicArea=True&amp;isModal=False</t>
  </si>
  <si>
    <t>ElCOMODATARIOrecibedelCOMODANTEenpréstamodeusoatítulogratuitoyconcargoarestituirbienesmueblesdepropiedadúnicayexclusivadelFONDODEDESARROLLOLOCALDEFONTIBÓN,sobreloscualesnopesaningúngravamenolimitaciónalguna,losbienesmueblesquesedetallanenelAnexoNo.01especificacionestécnicas,paraidentificarlosenformaclarayprecisa</t>
  </si>
  <si>
    <t>14-44-101188332</t>
  </si>
  <si>
    <t>5 AÑOS</t>
  </si>
  <si>
    <t>FDLF-CD-344-2023</t>
  </si>
  <si>
    <t>https://community.secop.gov.co/Public/Tendering/OpportunityDetail/Index?noticeUID=CO1.NTC.4662314&amp;isFromPublicArea=True&amp;isModal=False</t>
  </si>
  <si>
    <t>FIRMADO</t>
  </si>
  <si>
    <t>PEN 09 NOV 2023</t>
  </si>
  <si>
    <t>FDLF-CD-345-2023 (92248)</t>
  </si>
  <si>
    <t>https://community.secop.gov.co/Public/Tendering/OpportunityDetail/Index?noticeUID=CO1.NTC.4661596&amp;isFromPublicArea=True&amp;isModal=False</t>
  </si>
  <si>
    <t>ELCOMODATARIORECIBEDELCOMODANTEENPRÉSTAMODEUSOATÍTULOGRATUITOYCONCARGOARESTITUIRBIENESMUEBLESDEPROPIEDADÚNICAYEXCLUSIVADELFONDODEDESARROLLOLOCALDEFONTIBÓN,SOBRELOSCUALESNOPESANINGÚNGRAVAMENOLIMITACIÓNALGUNA,LOSBIENESMUEBLESQUESEDETALLANENELANEXONO.01ESPECIFICACIONESTÉCNICAS,PARAIDENTIFICARLOSENFORMACLARAYPRECISA.</t>
  </si>
  <si>
    <t>FDLF-CD-346-2023 (92259)</t>
  </si>
  <si>
    <t>https://community.secop.gov.co/Public/Tendering/OpportunityDetail/Index?noticeUID=CO1.NTC.4661240&amp;isFromPublicArea=True&amp;isModal=False</t>
  </si>
  <si>
    <t>FDLF-CD-347-2023(92261)</t>
  </si>
  <si>
    <t>https://community.secop.gov.co/Public/Tendering/OpportunityDetail/Index?noticeUID=CO1.NTC.4660480&amp;isFromPublicArea=True&amp;isModal=False</t>
  </si>
  <si>
    <t xml:space="preserve">ELCOMODATARIORECIBEDELCOMODANTEENPRÉSTAMODEUSOATÍTULOGRATUITOYCONCARGOARESTITUIRBIENESMUEBLESDEPROPIEDADÚNICAYEXCLUSIVADELFONDODEDESARROLLOLOCALDEFONTIBÓN,SOBRELOSCUALESNOPESANINGÚNGRAVAMENOLIMITACIÓNALGUNA,LOSBIENESMUEBLESQUESEDETALLANENELANEXONÚM.01ESPECIFICACIONESTÉCNICAS,PARAIDENTIFICARLOSENFORMACLARAYPRECISA.	</t>
  </si>
  <si>
    <t>33-44-101242907</t>
  </si>
  <si>
    <t>FDLF-CD-348-2023(92254)</t>
  </si>
  <si>
    <t>https://community.secop.gov.co/Public/Tendering/OpportunityDetail/Index?noticeUID=CO1.NTC.4661775&amp;isFromPublicArea=True&amp;isModal=False</t>
  </si>
  <si>
    <t>FDLF-CD-349-2023 (92245)</t>
  </si>
  <si>
    <t>https://community.secop.gov.co/Public/Tendering/OpportunityDetail/Index?noticeUID=CO1.NTC.4663717&amp;isFromPublicArea=True&amp;isModal=False</t>
  </si>
  <si>
    <t>14-44-101192852</t>
  </si>
  <si>
    <t>FDLF-CD-350-2023 (92250)</t>
  </si>
  <si>
    <t>https://community.secop.gov.co/Public/Tendering/OpportunityDetail/Index?noticeUID=CO1.NTC.4661464&amp;isFromPublicArea=True&amp;isModal=False</t>
  </si>
  <si>
    <t>14-44-101192853</t>
  </si>
  <si>
    <t>FDLF-CD-351-2023</t>
  </si>
  <si>
    <t>https://community.secop.gov.co/Public/Tendering/OpportunityDetail/Index?noticeUID=CO1.NTC.4663065&amp;isFromPublicArea=True&amp;isModal=False</t>
  </si>
  <si>
    <t>ELCOMODATARIORECIBEDELCOMODANTEENPRÉSTAMODEUSOATÍTULOGRATUITOYCONCARGOARESTITUIRBIENESMUEBLESDEPROPIEDADÚNICAYEXCLUSIVADELFONDODEDESARROLLOLOCALDEFONTIBÓN,SOBRELOSCUALESNOPESANINGÚNGRAVAMENOLIMITACIÓNALGUNA,LOSBIENESMUEBLESQUESEDETALLANENELANEXONO.01ESPECIFICACIONESTÉCNICAS,PARAIDENTIFICARLOSENFORMACLARAYPRECISA</t>
  </si>
  <si>
    <t>14-44-101188692</t>
  </si>
  <si>
    <t>FDLF-CPS-352-2023</t>
  </si>
  <si>
    <t>FDLF-CD-352-2023 (90782)</t>
  </si>
  <si>
    <t>https://community.secop.gov.co/Public/Tendering/OpportunityDetail/Index?noticeUID=CO1.NTC.4659688&amp;isFromPublicArea=True&amp;isModal=False</t>
  </si>
  <si>
    <t>21-46-101071504</t>
  </si>
  <si>
    <t>FDLF-CPS-353-2023</t>
  </si>
  <si>
    <t>FDLF-CD-353-2023 (91202)</t>
  </si>
  <si>
    <t>https://community.secop.gov.co/Public/Tendering/OpportunityDetail/Index?noticeUID=CO1.NTC.4661089&amp;isFromPublicArea=True&amp;isModal=False</t>
  </si>
  <si>
    <t>PRESTARLOSSERVICIOSPROFESIONALESDEAPOYOALOSRESPONSABLESEINTEGRANTESDELOSPROCESOSENLAIMPLEMENTACIÓNDEHERRAMIENTASDEGESTIÓN,SIGUIENDOLOSLINEAMIENTOSMETODOLÓGICOSESTABLECIDOSPORLAOFICINAASESORADEPLANEACIÓNDELASECRETARÍADISTRITALDEGOBIERNO</t>
  </si>
  <si>
    <t>14-46-101096581</t>
  </si>
  <si>
    <t>FDLF-CD-354-2023</t>
  </si>
  <si>
    <t>https://community.secop.gov.co/Public/Tendering/OpportunityDetail/Index?noticeUID=CO1.NTC.4662361&amp;isFromPublicArea=True&amp;isModal=False</t>
  </si>
  <si>
    <t>21-44-101419343</t>
  </si>
  <si>
    <t>FDLF-CD-355-2023 (92260)</t>
  </si>
  <si>
    <t>https://community.secop.gov.co/Public/Tendering/OpportunityDetail/Index?noticeUID=CO1.NTC.4663153&amp;isFromPublicArea=True&amp;isModal=False</t>
  </si>
  <si>
    <t>FDLF-CD-356-2023</t>
  </si>
  <si>
    <t>https://community.secop.gov.co/Public/Tendering/OpportunityDetail/Index?noticeUID=CO1.NTC.4663521&amp;isFromPublicArea=True&amp;isModal=False</t>
  </si>
  <si>
    <t xml:space="preserve">ELCOMODATARIORECIBEDELCOMODANTEENPRÉSTAMODEUSOATÍTULOGRATUITOYCONCARGOARESTITUIRBIENESMUEBLESDEPROPIEDADÚNICAYEXCLUSIVADELFONDODEDESARROLLOLOCALDEFONTIBÓN,SOBRELOSCUALESNOPESANINGÚNGRAVAMENOLIMITACIÓNALGUNA,LOSBIENESMUEBLESQUESEDETALLANENELANEXONO.01ESPECIFICACIONESTÉCNICAS,PARAIDENTIFICARLOSENFORMACLARAYPRECISA.
</t>
  </si>
  <si>
    <t>FDLF-CD-357-2023</t>
  </si>
  <si>
    <t>https://community.secop.gov.co/Public/Tendering/OpportunityDetail/Index?noticeUID=CO1.NTC.4664632&amp;isFromPublicArea=True&amp;isModal=False</t>
  </si>
  <si>
    <t xml:space="preserve">ELCOMODATARIORECIBEDELCOMODANTEENPRÉSTAMODEUSOATÍTULOGRATUITOYCONCARGOARESTITUIRBIENESMUEBLESDEPROPIEDADÚNICAYEXCLUSIVADELFONDODEDESARROLLOLOCALDEFONTIBÓN,SOBRELOSCUALESNOPESANINGÚNGRAVAMENOLIMITACIÓNALGUNA,LOSBIENESMUEBLESQUESEDETALLANENELANEXONO.01ESPECIFICACIONESTÉCNICAS,PARAIDENTIFICARLOSENFORMACLARAYPRECISA.	</t>
  </si>
  <si>
    <t>14-44-101189881</t>
  </si>
  <si>
    <t>FDLF-CPS-358-2023</t>
  </si>
  <si>
    <t>FDLF-CD-358-2023 (91510)</t>
  </si>
  <si>
    <t>https://community.secop.gov.co/Public/Tendering/OpportunityDetail/Index?noticeUID=CO1.NTC.4662706&amp;isFromPublicArea=True&amp;isModal=False</t>
  </si>
  <si>
    <t>PRESTARLOSSERVICIOSPROFESIONALESCOMOABOGADO(A)PARAAPOYARLAGESTIÓNCONTRACTUALENLAGESTIÓNDELDESARROLLOLOCAL,ENLASETAPASPRECONTRACTUALYCONTRACTUALDELOSPROCESOSDESELECCIÓNDEBIENESYSERVICIOSDELAALCALDÍALOCALDEFONTIBÓN</t>
  </si>
  <si>
    <t>ALEJANDRO ALARCON HAMON</t>
  </si>
  <si>
    <t>14-46-101096492</t>
  </si>
  <si>
    <t>FDLF-CD-359-2023</t>
  </si>
  <si>
    <t>https://community.secop.gov.co/Public/Tendering/OpportunityDetail/Index?noticeUID=CO1.NTC.4664089&amp;isFromPublicArea=True&amp;isModal=False</t>
  </si>
  <si>
    <t>SCJ-1731-2023 (INTERNO 360-2023 )</t>
  </si>
  <si>
    <t>SCJ-SIF-CD-524-2023</t>
  </si>
  <si>
    <t>https://www.contratos.gov.co/consultas/detalleProceso.do?numConstancia=23-22-69271&amp;g-recaptcha-response=03AL8dmw_89cgztPIpUa2DqJHMYISzTL1Bu4vAy8AwxU7pGyJAoUZt1Pjbtq7asU5zEULlluvxvCrYHOxDJ-Gp31RWx8hORajI9gA5A6uQjRitjpZjQHzFBSiJIYZYj4maYtddcdsiHKWPEKCRK_GcJ-kNHvA4lFWYbyw7y3g14L_u6HlYPk8PE7-slNUI_1oXp7oZH2zpm3H0g1i1WbZvsfwz070gVsxyQpy_2yFbzSyxTLFyCrQ76Tnj3Nk-4iMpzNGugWU9KdyvkSgqesf2LVTih4kGr19HKIo9XCf09O0NHIndn-9Pe-nBjSYQiIFNicObIk-0hAHnPweN1YmmdspmrP8Iy59lUSRn0z8myvR36JCu9gHbu0hNZntqLexllWmZsUISs-GiQCUXtQ-Md16WZFZ1XZTtB_JJGwMz0b1uvRh42-RPVHvL0I8PmIHjH9LW8L5AXGilJq4qMXrnDK-BRcd60useSPIuUOCI6B3qTDudWT_JFrv90tOS46bK_afgZRZqfUnxSYyalHb5-h4miQi967m_edVc6sJVOHv5lIBSMhO-AecWrFTWMpgp1LOH8ykO7c1p</t>
  </si>
  <si>
    <t>AUNARESFUERZOSADMINISTRATIVOSYFINANCIEROSENTRELASECRETARÍADISTRITALDESEGURIDAD,CONVIVENCIAYJUSTICIAYLOSFONDOSDEDESARROLLOLOCALDEUSAQUÉN,CHAPINERO,SANTAFE,USME,TUNJUELITO,BOSA,KENNEDY,FONTIBÓN,ENGATIVÁ,SUBA,BARRIOSUNIDOS,TEUSAQUILLO,ANTONIONARIÑO,PUENTEARANDA,LACANDELARIA,RAFAELURIBEURIBEYCIUDADBOLÍVAR,PARAELSUMINISTROEINSTALACIÓNDEEQUIPOSYCOMPONENTESPARAELSISTEMADEVIDEOVIGILANCIADEBOGOTÁ.</t>
  </si>
  <si>
    <t>BOGOTA DISTRITO CAPITAL</t>
  </si>
  <si>
    <t>9 MESES</t>
  </si>
  <si>
    <t>FDLF-CD-361-2023 (92255)</t>
  </si>
  <si>
    <t>https://community.secop.gov.co/Public/Tendering/OpportunityDetail/Index?noticeUID=CO1.NTC.4665031&amp;isFromPublicArea=True&amp;isModal=False</t>
  </si>
  <si>
    <t>FDLF-CD-362-2023</t>
  </si>
  <si>
    <t>FDLF-CD-363-2023</t>
  </si>
  <si>
    <t>https://community.secop.gov.co/Public/Tendering/OpportunityDetail/Index?noticeUID=CO1.NTC.4666677&amp;isFromPublicArea=True&amp;isModal=False</t>
  </si>
  <si>
    <t xml:space="preserve">ELCOMODATARIORECIBEDELCOMODANTEENPRÉSTAMODEUSOATÍTULOGRATUITOYCONCARGOARESTITUIRBIENESMUEBLESDEPROPIEDADÚNICAYEXCLUSIVADELFONDODEDESARROLLOLOCALDEFONTIRÓN,SOBRELOSCUALESNOPESANINGÚNGRAVAMENOLIMITACIÓNALGUNA,LOSBIENESMUEBLESQUESEDETALLANENELANEXONO.01ESPECIFICACIONESTÉCNICAS,PARAIDENTIFICARLOSENFORMACLARAYPRECISA.	</t>
  </si>
  <si>
    <t>FDLF-CPS-364-2023</t>
  </si>
  <si>
    <t>FDLF-CD-364-2023 (92293)</t>
  </si>
  <si>
    <t>https://community.secop.gov.co/Public/Tendering/OpportunityDetail/Index?noticeUID=CO1.NTC.4665552&amp;isFromPublicArea=True&amp;isModal=False</t>
  </si>
  <si>
    <t>CONTRATARLAPLANEACIÓN,ORGANIZACIÓNYREALIZACIÓNDELPROCESODEFORMACIÓNACADEMICAPARAMIEMBROSDELASJUNTASDEACCIÓNCOMUNALDELALOCALIDADDEFONTIBÓN</t>
  </si>
  <si>
    <t>ASOCIACION DE JUNTAS DE ACCION COMUNAL DE LA LOCALIDAD 09 FONTIBON</t>
  </si>
  <si>
    <t>14-44-101187491             14-44-101187491</t>
  </si>
  <si>
    <t>FDLF-CD-365-2023 (92311)</t>
  </si>
  <si>
    <t>https://community.secop.gov.co/Public/Tendering/OpportunityDetail/Index?noticeUID=CO1.NTC.4666669&amp;isFromPublicArea=True&amp;isModal=False</t>
  </si>
  <si>
    <t>14-44-101191289</t>
  </si>
  <si>
    <t>FDLF-CD-366-2023</t>
  </si>
  <si>
    <t>https://community.secop.gov.co/Public/Tendering/OpportunityDetail/Index?noticeUID=CO1.NTC.4666615&amp;isFromPublicArea=True&amp;isModal=False</t>
  </si>
  <si>
    <t xml:space="preserve">ELCOMODATARIORECIBEDELCOMODANTEENPRÉSTAMODEUSOATÍTULOGRATUITOYCONCARGOARESTITUIRBIENESMUEBLESDEPROPIEDADÚNICAYEXCLUSIVADELFONDODEDESARROLLOLOCALDEFONTIBÓN,SOBRELOSCUALESNOPESANINGÚNGRAVAMENOLIMITACIÓNALGUNA,LOSBIENESMUEBLESQUESEDETALLANENELANEXONO.01ESPECIFICACIONESTÉCNICAS,PARAIDENTIFICARLOSENFORMACLARAYPRECISA	.
</t>
  </si>
  <si>
    <t xml:space="preserve">	14-44-101189880</t>
  </si>
  <si>
    <t>FDLF-CD-367-2023 (92313)</t>
  </si>
  <si>
    <t>https://community.secop.gov.co/Public/Tendering/OpportunityDetail/Index?noticeUID=CO1.NTC.4667904&amp;isFromPublicArea=True&amp;isModal=False</t>
  </si>
  <si>
    <t xml:space="preserve">	14-44-101189030</t>
  </si>
  <si>
    <t>FDLF-CD-368-2023 (92309X)</t>
  </si>
  <si>
    <t>https://community.secop.gov.co/Public/Tendering/OpportunityDetail/Index?noticeUID=CO1.NTC.4666878&amp;isFromPublicArea=True&amp;isModal=False</t>
  </si>
  <si>
    <t>14-44-101189101</t>
  </si>
  <si>
    <t>FDLF-CD-369-2023 (92310)</t>
  </si>
  <si>
    <t>https://community.secop.gov.co/Public/Tendering/OpportunityDetail/Index?noticeUID=CO1.NTC.4667145&amp;isFromPublicArea=True&amp;isModal=False</t>
  </si>
  <si>
    <t>14-44-101194068</t>
  </si>
  <si>
    <t>FDLF-CD-370-2023 (92300)</t>
  </si>
  <si>
    <t>https://community.secop.gov.co/Public/Tendering/OpportunityDetail/Index?noticeUID=CO1.NTC.4667095&amp;isFromPublicArea=True&amp;isModal=False</t>
  </si>
  <si>
    <t>14-44-101192884</t>
  </si>
  <si>
    <t>FDLF-CD-371-2023 (92315)</t>
  </si>
  <si>
    <t>https://community.secop.gov.co/Public/Tendering/OpportunityDetail/Index?noticeUID=CO1.NTC.4667299&amp;isFromPublicArea=True&amp;isModal=False</t>
  </si>
  <si>
    <t>14-44-101192885</t>
  </si>
  <si>
    <t>FDLF-CD-372-2023 (92314)</t>
  </si>
  <si>
    <t>FDLF-CD-373-2023 (92312)</t>
  </si>
  <si>
    <t>https://community.secop.gov.co/Public/Tendering/OpportunityDetail/Index?noticeUID=CO1.NTC.4667601&amp;isFromPublicArea=True&amp;isModal=False</t>
  </si>
  <si>
    <t>ELCOMODATARIORECIBEDELCOMODANTEENPRÉSTAMODEUSOATÍTULOGRATUITOYCONCARGOARESTITUIRBIENESMUEBLESDEPROPIEDADÚNICAYEXCLUSIVADELFONDODEDESARROLLOLOCALDEFONTIRÓN,SOBRELOSCUALESNOPESANINGÚNGRAVAMENOLIMITACIÓNALGUNA,LOSBIENESMUEBLESQUESEDETALLANENELANEXONO.01ESPECIFICACIONESTÉCNICAS,PARAIDENTIFICARLOSENFORMACLARAYPRECISA.</t>
  </si>
  <si>
    <t>14-44-101195359</t>
  </si>
  <si>
    <t>FDLF-CPS-374-2023</t>
  </si>
  <si>
    <t>FDLF-MC-003-2023 (90662)</t>
  </si>
  <si>
    <t>https://community.secop.gov.co/Public/Tendering/OpportunityDetail/Index?noticeUID=CO1.NTC.4583037&amp;isFromPublicArea=True&amp;isModal=False</t>
  </si>
  <si>
    <t>PRESTACIÓNDELSERVICIODEMONITOREOSATELITALPORGPSYMEDICIÓNDEVARIABLESDEOPERACIÓNDELOSVEHÍCULOSLIVIANOSYMAQUINARIAPESADADELFONDODEDESARROLLOLOCALDEFONTIBON</t>
  </si>
  <si>
    <t>ANGEL SECURITY SAS</t>
  </si>
  <si>
    <t>21-54-101008983-                 21-46-101072704</t>
  </si>
  <si>
    <t>8554 - 2023  (INTERNO 375-2023 )</t>
  </si>
  <si>
    <t>8554 - 2023</t>
  </si>
  <si>
    <t>https://community.secop.gov.co/Public/Tendering/OpportunityDetail/Index?noticeUID=CO1.NTC.4652598&amp;isFromPublicArea=True&amp;isModal=true&amp;asPopupView=true</t>
  </si>
  <si>
    <t>AUNAR ESFUERZOS TÉCNICOS, ADMINISTRATIVOS, JURÍDICOS Y FINANCIEROS ENTRE LA SECRETARÍA DISTRITAL DE INTEGRACIÓN SOCIAL Y EL FONDO DE DESARROLLO LOCAL DE FONTIBÓN PARA LA OPERACIÓN DEL PAGO DE TRANSFERENCIAS MONETARIAS NO CONDICIONADAS DE LA ESTRATEGIA DE INGRESO MÍNIMO GARANTIZADO, QUE PERMITIRÁ LA DISPERSIÓN DE RECURSOS A LOS HOGARES POBRES PRIORIZADOS E IDENTIFICADOS DE LA LOCALIDAD DE FONTIBÓN.</t>
  </si>
  <si>
    <t>FONDO DE DESARROLLO LOCAL DE FONTIBON (en calidad de proveedores)SECRETARÍA DISTRITAL DE INTEGRACIÓN SOCIAL</t>
  </si>
  <si>
    <t>165 DIAS</t>
  </si>
  <si>
    <t>FDLF-CPS-376-2023</t>
  </si>
  <si>
    <t>FDLF-MC-004-2023 (91114)</t>
  </si>
  <si>
    <t>https://community.secop.gov.co/Public/Tendering/OpportunityDetail/Index?noticeUID=CO1.NTC.4615317&amp;isFromPublicArea=True&amp;isModal=False</t>
  </si>
  <si>
    <t>INSTALACIÓN DE DOS (2) AIRES ACONDICIONADOS PARA LOS DATA CENTER DEL FONDO DE DESARROLLO LOCAL DE FONTBÓN</t>
  </si>
  <si>
    <t xml:space="preserve"> SOLUCIONES INTEGRALES DE OFICINA S.A.S</t>
  </si>
  <si>
    <t xml:space="preserve">18-44-101091017-           18-40-101067066 </t>
  </si>
  <si>
    <t>1 MES</t>
  </si>
  <si>
    <t>FDLF-CSU-377-2023</t>
  </si>
  <si>
    <t>SELECCIÓN ABREVIADA SUBASTA INVERSA</t>
  </si>
  <si>
    <t>SUMINISTROS</t>
  </si>
  <si>
    <t>FDLF-SASI-001-2023 (90885)</t>
  </si>
  <si>
    <t>https://community.secop.gov.co/Public/Tendering/OpportunityDetail/Index?noticeUID=CO1.NTC.4565493&amp;isFromPublicArea=True&amp;isModal=False</t>
  </si>
  <si>
    <t>CONTRATAR EL SUMINSITRO DE INSUMOS, REFRIGERIOS Y MATERIALES REQUERIDOS PARA EL DESARROLLO DEL PROGRAMA PARCEROS POR BOGOTÁEN LA LOCALIDAD DE FONTIBON</t>
  </si>
  <si>
    <t>TEMPOEFECTIVA SAS</t>
  </si>
  <si>
    <t>33-44-101240318</t>
  </si>
  <si>
    <t>195 DIAS</t>
  </si>
  <si>
    <t>FDLF-CSU-378-2023</t>
  </si>
  <si>
    <t>CONTRATAR EL SUMINSITRO DE INSUMOS, REFRIGERIOS Y MATERIALES REQUERIDOS PARA EL DESARROLLO DEL PROGRAMA PARCEROS POR BOGOTÁ EN LA LOCALIDAD DE FONTIBÓN</t>
  </si>
  <si>
    <t>ESM SOLUTIONS SAS</t>
  </si>
  <si>
    <t>21-40-101215299</t>
  </si>
  <si>
    <t>FDLF-COP-379-2023</t>
  </si>
  <si>
    <t>OBRA PÚBLICA</t>
  </si>
  <si>
    <t>LICITACIÓN PÚBLICA (OBRA PÚBLICA)</t>
  </si>
  <si>
    <t>FDLF-LP-001-2023</t>
  </si>
  <si>
    <t>https://community.secop.gov.co/Public/Tendering/OpportunityDetail/Index?noticeUID=CO1.NTC.4679914&amp;isFromPublicArea=True&amp;isModal=False</t>
  </si>
  <si>
    <t>REALIZAR LAS OBRAS DE CONSERVACIÓN DE LA MALLA VIAL Y ESPACIO PÚBLICO ASOCIADO EN LA LOCALIDAD DE FONTIBÓN, BOGOTÁ, D.C. A TRAVÉS DEL SISTEMA DE PRECIOS UNITARIOS FIJOS Y A MONTO AGOTABLE</t>
  </si>
  <si>
    <t>CONSORCIO C DISEÑOS</t>
  </si>
  <si>
    <t>21-44-101428040-21-40-101220910</t>
  </si>
  <si>
    <t>FDLF-CPS-380-2023</t>
  </si>
  <si>
    <t>FDLF-MC-005-2023 (93788)</t>
  </si>
  <si>
    <t>https://community.secop.gov.co/Public/Tendering/OpportunityDetail/Index?noticeUID=CO1.NTC.4921219&amp;isFromPublicArea=True&amp;isModal=False</t>
  </si>
  <si>
    <t>SERVICIO DE RECARGAS Y MANTENIMIENTO DE LOS EXTINTORES CONTRA INCENDIO, COMPRA DE SEÑALIZACIÓN PARA EXTINTORES Y ELEMENTOS PARA LA ATENCIÓN, PREVENCIÓN Y MITIGACIÓN DEL RIESGO Y EMERGENCIAS PARA EL FONDO DE DESARROLLO LOCAL DE FONTIBÓN</t>
  </si>
  <si>
    <t>PROMOTORA NACIONAL TECNICA DE EXTINTORES - PRONALTEX SAS</t>
  </si>
  <si>
    <t>FDLF-CIN-381-2023</t>
  </si>
  <si>
    <t>CONCURSO DE MERITOS ABIERTO</t>
  </si>
  <si>
    <t>INTERVENTORIA</t>
  </si>
  <si>
    <t>FDLF-CMA-001-2023</t>
  </si>
  <si>
    <t>https://community.secop.gov.co/Public/Tendering/OpportunityDetail/Index?noticeUID=CO1.NTC.4828422&amp;isFromPublicArea=True&amp;isModal=False</t>
  </si>
  <si>
    <t>REALIZAR LA INTERVENTORÍA, TÉCNICA, ADMINISTRATIVA, JURÍDICA, FINANCIERA, SOCIAL, AMBIENTAL Y DE SEGURIDAD Y SALUD EN EL TRABAJO AL CONTRATO cuyo objeto es: REALIZAR LAS OBRAS DE CONSERVACIÓN DE LA MALLA VIAL Y ESPACIO PÚBLICO ASOCIADO EN LA LOCALIDAD DE FONTIBON, BOGOTÁ, D.C. A TRAVÉS DEL SISTEMA DE PRECIOS UNITARIOS FIJOS Y A MONTO AGOTABLE.</t>
  </si>
  <si>
    <t xml:space="preserve">	UMBRELLA INTERNATIONAL SAS</t>
  </si>
  <si>
    <t>85-44-101124093</t>
  </si>
  <si>
    <t>FDLF-CPS-382-2023</t>
  </si>
  <si>
    <t>https://community.secop.gov.co/Public/Tendering/OpportunityDetail/Index?noticeUID=CO1.NTC.4987272&amp;isFromPublicArea=True&amp;isModal=False</t>
  </si>
  <si>
    <t>ADQUISICIÓN DE LOS ELEMENTOS, BIENES Y SERVICIOS NECESARIOS PARA LA ADECUACIÓN, IMPLEMENTACIÓN Y SOSTENIBILIDAD DE LA SALA AMIGA DE LA FAMILIA LACTANTE EN EL ENTORNO LABORAL DEL FONDO DE DESARROLLO LOCAL DE FONTIBÓN</t>
  </si>
  <si>
    <t>INGCAP ASOCIADOS SAS</t>
  </si>
  <si>
    <t>FDLF-CSU-383-2023</t>
  </si>
  <si>
    <t>FDLF-SASI-003-2023 (94100)</t>
  </si>
  <si>
    <t>https://community.secop.gov.co/Public/Tendering/OpportunityDetail/Index?noticeUID=CO1.NTC.4947494&amp;isFromPublicArea=True&amp;isModal=False</t>
  </si>
  <si>
    <t>SUMINISTRO DE ELEMENTOS Y ÚTILES DE OFICINA Y ELEMENTOS DE ARCHIVO, PARA LAS DIFERENTES DEPENDENCIAS DE LA ALCALDÍA LOCAL DE FONTIBÓN Y LA JUNTA ADMINISTRADORA LOCAL</t>
  </si>
  <si>
    <t>PAPELERIA LOS ANDES S.A.S</t>
  </si>
  <si>
    <t xml:space="preserve">	100050223</t>
  </si>
  <si>
    <t>SILVIA JULIANA BOTERO URQUIJO</t>
  </si>
  <si>
    <t>FDLF-CPS-384-2023</t>
  </si>
  <si>
    <t>FDLF-MC-007-2023 (94979)</t>
  </si>
  <si>
    <t>https://community.secop.gov.co/Public/Tendering/OpportunityDetail/Index?noticeUID=CO1.NTC.5017565&amp;isFromPublicArea=True&amp;isModal=False</t>
  </si>
  <si>
    <t>PRESTAR SERVICIOS PARA EL MANTENIMIENTO PREVENTIVO, CORRECTIVO CON SUMINISTRO DE REPUESTOS A LOS EQUIPOS DE CÓMPUTO, PORTÁTILES, IMPRESORAS, ESCÁNERES Y SWITCH DEL FONDO DE DESARROLLO LOCAL DE FONTIBÓN Y DE AQUELLOS POR LOS QUE ESTE SEA LEGALMENTE RESPONSABLE</t>
  </si>
  <si>
    <t>MAKROSYSTEM COLOMBIA S.A.S</t>
  </si>
  <si>
    <t>FDLF-CSU-385-2023</t>
  </si>
  <si>
    <t>FDLF-SASI-002-2023 (94121)</t>
  </si>
  <si>
    <t>https://community.secop.gov.co/Public/Tendering/OpportunityDetail/Index?noticeUID=CO1.NTC.4948899&amp;isFromPublicArea=True&amp;isModal=False</t>
  </si>
  <si>
    <t>SUMINISTRO DE ELEMENTOS DE FERRETERÍA NECESARIOS PARA REALIZAR EL MANTENIMIENTO, REPARACIONES O MEJORAS DE TIPO LOCATIVO DE LOS BIENES INMUEBLES Y MUEBLES A CARGO DEL FONDO DE DESARROLLO LOCAL DE FONTIBÓN</t>
  </si>
  <si>
    <t>COMERCIALIZADORA SEVERAL PARTS SAS</t>
  </si>
  <si>
    <t>14-46-101101203</t>
  </si>
  <si>
    <t>OC 108004</t>
  </si>
  <si>
    <t>SELECCION ABREVIADA POR ACUERDO MARCO DE PRECIOS</t>
  </si>
  <si>
    <t>OC 108004 (89382)</t>
  </si>
  <si>
    <t>https://www.colombiacompra.gov.co/tienda-virtual-del-estado-colombiano/ordenes-compra/108004</t>
  </si>
  <si>
    <t>LAADQUISICIÓNDELSERVICIOINTEGRALDEASEOYCAFETERÍACONFORMEALACUERDOMARCODEPRECIOSNO.CCE-216-AMP-2023.PARALASDEPENDENCIASDELAALCALDÍALOCALDEFONTIBÓN:LASINSPECCIONESDEPOLICIA,LACASADELCONSUMIDORYLAJUNTAADMINISTRADORALOCALDEFONTIBÓN.</t>
  </si>
  <si>
    <t>UNIÓN TEMPORAL OUTSOURCING GIAF</t>
  </si>
  <si>
    <t>B-1000035495</t>
  </si>
  <si>
    <t>OC 112933</t>
  </si>
  <si>
    <t>COMPRAVENTA</t>
  </si>
  <si>
    <t>https://www.colombiacompra.gov.co/tienda-virtual-del-estado-colombiano/ordenes-compra/112933</t>
  </si>
  <si>
    <t>CONTRATAR EL ALQUILER DE TRES (03) MAQUINAS MULTIFUNCIONALES LASER: FOTOCOPIADORA, ESCÁNER E IMPRESORA Y TRES (03) SCANNER DE DIGITALIZACIÓN DE DOCUMENTOS, CUYO SERVICIO INCLUYA EL SERVICIO INTEGRAL DE INSTALACIÓN Y CONFIGURACIÓN, HARDWARE, SOFTWARE, CON SUMINISTRO DE INSUMOS (TÓNER Y REPUESTOS), CAPACITACIONES, MANTENIMIENTO PREVENTIVO Y CORRECTIVO</t>
  </si>
  <si>
    <t>SOLUTION COPY LTDA</t>
  </si>
  <si>
    <t>18-44-101090866</t>
  </si>
  <si>
    <t>OC 112934</t>
  </si>
  <si>
    <t>https://www.colombiacompra.gov.co/tienda-virtual-del-estado-colombiano/ordenes-compra/112934</t>
  </si>
  <si>
    <t>18-44-101090868</t>
  </si>
  <si>
    <t>OC 113267</t>
  </si>
  <si>
    <t>https://www.colombiacompra.gov.co/tienda-virtual-del-estado-colombiano/ordenes-compra/113267</t>
  </si>
  <si>
    <t>ADQUISICIÓN DEL SOFTWARE ARCGIS ONLINE GIS PROFESSIONAL BASIC TERM LICENSE PARA EL ANÁLISIS Y DESARROLLO DE TEMAS GEOGRÁFICOS, CARTOGRÁFICOS Y DE GEORREFERENCIACIÓN DE LA LOCALIDAD DE FONTIBÓN</t>
  </si>
  <si>
    <t>ESRI COLOMBIA SAS</t>
  </si>
  <si>
    <t>30 dias</t>
  </si>
  <si>
    <t>OC 113477</t>
  </si>
  <si>
    <t>https://www.colombiacompra.gov.co/tienda-virtual-del-estado-colombiano/ordenes-compra/113477</t>
  </si>
  <si>
    <t>COMPRAR ELEMENTOS DE HARDWARE PARA LA ALCALDÍA LOCAL DE FONTIBÓN</t>
  </si>
  <si>
    <t>PROVEER INSTITUCIONAL S.A.S.</t>
  </si>
  <si>
    <t>OC 113935</t>
  </si>
  <si>
    <t>https://www.colombiacompra.gov.co/tienda-virtual-del-estado-colombiano/ordenes-compra/113955</t>
  </si>
  <si>
    <t>ADQUIRIR CAJAS X 10 RESMAS DE PAPEL TAMAÑO CARTA PARA LA ALCALDÍA LOCAL DE FONTIBÓN</t>
  </si>
  <si>
    <t>JAIME BELTRAN URIBE-POLYFLEX</t>
  </si>
  <si>
    <t xml:space="preserve">	1214</t>
  </si>
  <si>
    <t>OC 114566</t>
  </si>
  <si>
    <t>https://www.colombiacompra.gov.co/tienda-virtual-del-estado-colombiano/ordenes-compra/114566</t>
  </si>
  <si>
    <t>COMPRAR MOBILIARIO PARA LA REALIZACIÓN DE EVENTOS Y ELEMENTOS LOGÍSTICOS PARA EL FONDO DE DESARROLLO LOCAL DE FONTIBÓN</t>
  </si>
  <si>
    <t>CENCOSUD COLOMBIA S.A.</t>
  </si>
  <si>
    <t>OC 114296</t>
  </si>
  <si>
    <t>https://www.colombiacompra.gov.co/tienda-virtual-del-estado-colombiano/ordenes-compra/114296</t>
  </si>
  <si>
    <t>ADQUIRIR LA RENOVACIÓN DEL LICENCIAMIENTO DE ADOBE CREATIVE CLOUD PARA EL GRUPO DE PRENSA Y COMUNICACIONES DE LA ALCALDÍA LOCAL DE FONTIBÓN</t>
  </si>
  <si>
    <t>PANAMERICANA LIBRERÍA Y PAPELERÍA S.A.</t>
  </si>
  <si>
    <t>30 DIAS</t>
  </si>
  <si>
    <t>OC 114459</t>
  </si>
  <si>
    <t>https://www.colombiacompra.gov.co/tienda-virtual-del-estado-colombiano/ordenes-compra/114459</t>
  </si>
  <si>
    <t>ADQUIRIR EL LICENCIAMIENTO DE HERRAMIENTAS MICROSOFT OFFICE 365 (COLABORACIÓN Y CORREO ELECTRÓNICO) PARA LA ALCALDÍA LOCAL DE FONTIBÓN</t>
  </si>
  <si>
    <t>COLSOF S.A.S.</t>
  </si>
  <si>
    <t>NB-100276784</t>
  </si>
  <si>
    <t>OC 117787</t>
  </si>
  <si>
    <t>https://www.colombiacompra.gov.co/tienda-virtual-del-estado-colombiano/ordenes-compra/117787</t>
  </si>
  <si>
    <t>SUMINISTRO DE MATERIALES ASFÁLTICOS, DE BASE Y SUBBASE GRANULAR, DISPOSICIÓN FINAL DE ESCOMBROS, ELEMENTOS DE FERRETERÍA Y DEMÁS ELEMENTOS REQUERIDOS PARA LA REHABILITACIÓN, MANTENIMIENTO DE LA MALLA VIAL Y ESPACIO PÚBLICO DE LA LOCALIDAD DE FONTIBÓN</t>
  </si>
  <si>
    <t>UNIÓN TEMPORAL ESTUDIOS 049</t>
  </si>
  <si>
    <t xml:space="preserve">Número Constancia SECOP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</si>
</sst>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[$$-409]* #,##0_ ;_-[$$-409]* \-#,##0\ ;_-[$$-409]* &quot;-&quot;??_ ;_-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66">
    <xf numFmtId="0" fontId="0" fillId="0" borderId="0" xfId="0"/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14" fontId="4" fillId="9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4" fontId="4" fillId="10" borderId="1" xfId="0" applyNumberFormat="1" applyFont="1" applyFill="1" applyBorder="1" applyAlignment="1">
      <alignment horizontal="center" vertical="center" wrapText="1"/>
    </xf>
    <xf numFmtId="14" fontId="4" fillId="11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13" borderId="1" xfId="0" applyNumberFormat="1" applyFont="1" applyFill="1" applyBorder="1" applyAlignment="1">
      <alignment horizontal="center" vertical="center" wrapText="1"/>
    </xf>
    <xf numFmtId="164" fontId="4" fillId="14" borderId="1" xfId="0" applyNumberFormat="1" applyFont="1" applyFill="1" applyBorder="1" applyAlignment="1">
      <alignment horizontal="center" vertical="center" wrapText="1"/>
    </xf>
    <xf numFmtId="14" fontId="4" fillId="14" borderId="1" xfId="0" applyNumberFormat="1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2" fillId="0" borderId="1" xfId="3" applyFill="1" applyBorder="1"/>
    <xf numFmtId="41" fontId="7" fillId="0" borderId="1" xfId="2" applyFont="1" applyFill="1" applyBorder="1" applyAlignment="1"/>
    <xf numFmtId="0" fontId="3" fillId="0" borderId="0" xfId="0" applyFont="1" applyAlignment="1">
      <alignment wrapText="1"/>
    </xf>
    <xf numFmtId="42" fontId="6" fillId="0" borderId="0" xfId="4" applyFont="1" applyFill="1" applyAlignment="1">
      <alignment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42" fontId="4" fillId="2" borderId="1" xfId="4" applyFont="1" applyFill="1" applyBorder="1" applyAlignment="1">
      <alignment horizontal="center" vertical="center" wrapText="1"/>
    </xf>
    <xf numFmtId="42" fontId="8" fillId="5" borderId="1" xfId="4" applyFont="1" applyFill="1" applyBorder="1" applyAlignment="1">
      <alignment horizontal="center" vertical="center" wrapText="1"/>
    </xf>
    <xf numFmtId="42" fontId="4" fillId="5" borderId="1" xfId="4" applyFont="1" applyFill="1" applyBorder="1" applyAlignment="1">
      <alignment horizontal="center" vertical="center" wrapText="1"/>
    </xf>
    <xf numFmtId="42" fontId="6" fillId="0" borderId="0" xfId="4" applyFont="1" applyFill="1" applyBorder="1" applyAlignment="1">
      <alignment vertical="center"/>
    </xf>
    <xf numFmtId="42" fontId="6" fillId="0" borderId="0" xfId="4" applyFont="1" applyAlignment="1">
      <alignment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2" fillId="0" borderId="1" xfId="3" applyFill="1" applyBorder="1" applyAlignment="1">
      <alignment wrapTex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left" vertical="top"/>
    </xf>
    <xf numFmtId="14" fontId="3" fillId="0" borderId="1" xfId="0" applyNumberFormat="1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14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wrapText="1"/>
    </xf>
    <xf numFmtId="1" fontId="3" fillId="0" borderId="1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wrapText="1"/>
    </xf>
  </cellXfs>
  <cellStyles count="7">
    <cellStyle name="Hipervínculo" xfId="3" builtinId="8"/>
    <cellStyle name="Hipervínculo 2" xfId="5" xr:uid="{85FF7C58-3E2F-4789-846B-CAE3D0FE248C}"/>
    <cellStyle name="Hyperlink" xfId="1" xr:uid="{00000000-0005-0000-0000-000001000000}"/>
    <cellStyle name="Millares [0]" xfId="2" builtinId="6"/>
    <cellStyle name="Millares [0] 2" xfId="6" xr:uid="{9C151DCC-D8F8-4EC3-B8B0-1451FD5644DB}"/>
    <cellStyle name="Moneda [0] 2" xfId="4" xr:uid="{E2EC7329-051D-4293-8468-581B4BB463AB}"/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rnan Quinonez Pinzon" id="{373E6F33-248F-4E50-8104-FD3B9DC2CA5F}" userId="S::Hernan.Quinonez@gobiernobogota.gov.co::8f7cbdec-eb6d-440d-b561-9dc0b92cc9f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239" dT="2023-05-08T18:54:53.19" personId="{373E6F33-248F-4E50-8104-FD3B9DC2CA5F}" id="{5CF27186-3DEC-4A82-8BCF-CF60274F3429}">
    <text>POLIZA CARGADA EN OPCION 7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nazubri@gmail.com" TargetMode="External"/><Relationship Id="rId299" Type="http://schemas.openxmlformats.org/officeDocument/2006/relationships/hyperlink" Target="https://community.secop.gov.co/Public/Tendering/OpportunityDetail/Index?noticeUID=CO1.NTC.4921219&amp;isFromPublicArea=True&amp;isModal=False" TargetMode="External"/><Relationship Id="rId21" Type="http://schemas.openxmlformats.org/officeDocument/2006/relationships/hyperlink" Target="https://community.secop.gov.co/Public/Tendering/OpportunityDetail/Index?noticeUID=CO1.NTC.3856661&amp;isFromPublicArea=True&amp;isModal=False" TargetMode="External"/><Relationship Id="rId63" Type="http://schemas.openxmlformats.org/officeDocument/2006/relationships/hyperlink" Target="mailto:vesgachris@gmail.com" TargetMode="External"/><Relationship Id="rId159" Type="http://schemas.openxmlformats.org/officeDocument/2006/relationships/hyperlink" Target="mailto:nbonnettg@gmail.com" TargetMode="External"/><Relationship Id="rId170" Type="http://schemas.openxmlformats.org/officeDocument/2006/relationships/hyperlink" Target="mailto:juniorhurtadosoler@gmail.com" TargetMode="External"/><Relationship Id="rId226" Type="http://schemas.openxmlformats.org/officeDocument/2006/relationships/hyperlink" Target="mailto:tkd.john.amaya@hotmail.com" TargetMode="External"/><Relationship Id="rId268" Type="http://schemas.openxmlformats.org/officeDocument/2006/relationships/hyperlink" Target="mailto:reycamilo.98@hotmail.com" TargetMode="External"/><Relationship Id="rId32" Type="http://schemas.openxmlformats.org/officeDocument/2006/relationships/hyperlink" Target="https://community.secop.gov.co/Public/Tendering/OpportunityDetail/Index?noticeUID=CO1.NTC.3867558&amp;isFromPublicArea=True&amp;isModal=False" TargetMode="External"/><Relationship Id="rId74" Type="http://schemas.openxmlformats.org/officeDocument/2006/relationships/hyperlink" Target="mailto:nestorquin@hotmail.com" TargetMode="External"/><Relationship Id="rId128" Type="http://schemas.openxmlformats.org/officeDocument/2006/relationships/hyperlink" Target="mailto:lore199304@gmail.com" TargetMode="External"/><Relationship Id="rId5" Type="http://schemas.openxmlformats.org/officeDocument/2006/relationships/hyperlink" Target="https://community.secop.gov.co/Public/Tendering/OpportunityDetail/Index?noticeUID=CO1.NTC.3812181&amp;isFromPublicArea=True&amp;isModal=False" TargetMode="External"/><Relationship Id="rId181" Type="http://schemas.openxmlformats.org/officeDocument/2006/relationships/hyperlink" Target="mailto:yonixstefanny27@hotmail.com" TargetMode="External"/><Relationship Id="rId237" Type="http://schemas.openxmlformats.org/officeDocument/2006/relationships/hyperlink" Target="mailto:rafaelve.197409@gmail.com" TargetMode="External"/><Relationship Id="rId279" Type="http://schemas.openxmlformats.org/officeDocument/2006/relationships/hyperlink" Target="mailto:aucar0321@gmail.com" TargetMode="External"/><Relationship Id="rId43" Type="http://schemas.openxmlformats.org/officeDocument/2006/relationships/hyperlink" Target="https://community.secop.gov.co/Public/Tendering/OpportunityDetail/Index?noticeUID=CO1.NTC.3887941&amp;isFromPublicArea=True&amp;isModal=False" TargetMode="External"/><Relationship Id="rId139" Type="http://schemas.openxmlformats.org/officeDocument/2006/relationships/hyperlink" Target="mailto:s.mateus1320@gmail.com" TargetMode="External"/><Relationship Id="rId290" Type="http://schemas.openxmlformats.org/officeDocument/2006/relationships/hyperlink" Target="mailto:olgacortes@hotmail.es" TargetMode="External"/><Relationship Id="rId304" Type="http://schemas.openxmlformats.org/officeDocument/2006/relationships/hyperlink" Target="https://www.colombiacompra.gov.co/tienda-virtual-del-estado-colombiano/ordenes-compra/117787" TargetMode="External"/><Relationship Id="rId85" Type="http://schemas.openxmlformats.org/officeDocument/2006/relationships/hyperlink" Target="mailto:varisti38@icloud.com" TargetMode="External"/><Relationship Id="rId150" Type="http://schemas.openxmlformats.org/officeDocument/2006/relationships/hyperlink" Target="mailto:sabas.441970@outlook.es" TargetMode="External"/><Relationship Id="rId192" Type="http://schemas.openxmlformats.org/officeDocument/2006/relationships/hyperlink" Target="mailto:mariaca96h@gmail.com" TargetMode="External"/><Relationship Id="rId206" Type="http://schemas.openxmlformats.org/officeDocument/2006/relationships/hyperlink" Target="mailto:riruar88@hotmail.com" TargetMode="External"/><Relationship Id="rId248" Type="http://schemas.openxmlformats.org/officeDocument/2006/relationships/hyperlink" Target="mailto:giovanni.cortesg@hotmail.com" TargetMode="External"/><Relationship Id="rId12" Type="http://schemas.openxmlformats.org/officeDocument/2006/relationships/hyperlink" Target="https://community.secop.gov.co/Public/Tendering/OpportunityDetail/Index?noticeUID=CO1.NTC.3824969&amp;isFromPublicArea=True&amp;isModal=False" TargetMode="External"/><Relationship Id="rId108" Type="http://schemas.openxmlformats.org/officeDocument/2006/relationships/hyperlink" Target="mailto:gonzalezpuentes99@gmail.com" TargetMode="External"/><Relationship Id="rId54" Type="http://schemas.openxmlformats.org/officeDocument/2006/relationships/hyperlink" Target="mailto:dollphik21@hotmail.com" TargetMode="External"/><Relationship Id="rId96" Type="http://schemas.openxmlformats.org/officeDocument/2006/relationships/hyperlink" Target="mailto:oscarjsuarezp@outlook.com" TargetMode="External"/><Relationship Id="rId161" Type="http://schemas.openxmlformats.org/officeDocument/2006/relationships/hyperlink" Target="mailto:andressaba1890@gmail.com" TargetMode="External"/><Relationship Id="rId217" Type="http://schemas.openxmlformats.org/officeDocument/2006/relationships/hyperlink" Target="mailto:sosorio117@gmail.com" TargetMode="External"/><Relationship Id="rId259" Type="http://schemas.openxmlformats.org/officeDocument/2006/relationships/hyperlink" Target="mailto:perezheliodoro@hotmail.com" TargetMode="External"/><Relationship Id="rId23" Type="http://schemas.openxmlformats.org/officeDocument/2006/relationships/hyperlink" Target="https://community.secop.gov.co/Public/Tendering/OpportunityDetail/Index?noticeUID=CO1.NTC.3855314&amp;isFromPublicArea=True&amp;isModal=False" TargetMode="External"/><Relationship Id="rId119" Type="http://schemas.openxmlformats.org/officeDocument/2006/relationships/hyperlink" Target="mailto:edna.velasquez.g@gmail.com" TargetMode="External"/><Relationship Id="rId270" Type="http://schemas.openxmlformats.org/officeDocument/2006/relationships/hyperlink" Target="mailto:andrea040810@gmail.com" TargetMode="External"/><Relationship Id="rId44" Type="http://schemas.openxmlformats.org/officeDocument/2006/relationships/hyperlink" Target="https://community.secop.gov.co/Public/Tendering/OpportunityDetail/Index?noticeUID=CO1.NTC.3890216&amp;isFromPublicArea=True&amp;isModal=False" TargetMode="External"/><Relationship Id="rId65" Type="http://schemas.openxmlformats.org/officeDocument/2006/relationships/hyperlink" Target="mailto:jennyferb_21@hotmail.com" TargetMode="External"/><Relationship Id="rId86" Type="http://schemas.openxmlformats.org/officeDocument/2006/relationships/hyperlink" Target="mailto:kcarballosierra@gmail.com" TargetMode="External"/><Relationship Id="rId130" Type="http://schemas.openxmlformats.org/officeDocument/2006/relationships/hyperlink" Target="mailto:juanes0912@hotmail.com" TargetMode="External"/><Relationship Id="rId151" Type="http://schemas.openxmlformats.org/officeDocument/2006/relationships/hyperlink" Target="mailto:nicolasparra1985@gmail.com" TargetMode="External"/><Relationship Id="rId172" Type="http://schemas.openxmlformats.org/officeDocument/2006/relationships/hyperlink" Target="mailto:crismmafontibon@gmail.com" TargetMode="External"/><Relationship Id="rId193" Type="http://schemas.openxmlformats.org/officeDocument/2006/relationships/hyperlink" Target="mailto:valentina.bc42@gmail.com" TargetMode="External"/><Relationship Id="rId207" Type="http://schemas.openxmlformats.org/officeDocument/2006/relationships/hyperlink" Target="mailto:sandylu_0123@hotmail.com" TargetMode="External"/><Relationship Id="rId228" Type="http://schemas.openxmlformats.org/officeDocument/2006/relationships/hyperlink" Target="mailto:manuel_martinez_e@hotmail.com" TargetMode="External"/><Relationship Id="rId249" Type="http://schemas.openxmlformats.org/officeDocument/2006/relationships/hyperlink" Target="mailto:acevedocajamarca63@gmail.com" TargetMode="External"/><Relationship Id="rId13" Type="http://schemas.openxmlformats.org/officeDocument/2006/relationships/hyperlink" Target="https://community.secop.gov.co/Public/Tendering/OpportunityDetail/Index?noticeUID=CO1.NTC.3831608&amp;isFromPublicArea=True&amp;isModal=False" TargetMode="External"/><Relationship Id="rId109" Type="http://schemas.openxmlformats.org/officeDocument/2006/relationships/hyperlink" Target="mailto:j.lopez326@hotmail.com" TargetMode="External"/><Relationship Id="rId260" Type="http://schemas.openxmlformats.org/officeDocument/2006/relationships/hyperlink" Target="mailto:andre17921@hotmail.com" TargetMode="External"/><Relationship Id="rId281" Type="http://schemas.openxmlformats.org/officeDocument/2006/relationships/hyperlink" Target="mailto:levys.paez@gmail.com" TargetMode="External"/><Relationship Id="rId34" Type="http://schemas.openxmlformats.org/officeDocument/2006/relationships/hyperlink" Target="https://community.secop.gov.co/Public/Tendering/OpportunityDetail/Index?noticeUID=CO1.NTC.3887611&amp;isFromPublicArea=True&amp;isModal=False" TargetMode="External"/><Relationship Id="rId55" Type="http://schemas.openxmlformats.org/officeDocument/2006/relationships/hyperlink" Target="mailto:pilarchiquito1609@hotmail.com" TargetMode="External"/><Relationship Id="rId76" Type="http://schemas.openxmlformats.org/officeDocument/2006/relationships/hyperlink" Target="mailto:estefanialescano23@gmail.com" TargetMode="External"/><Relationship Id="rId97" Type="http://schemas.openxmlformats.org/officeDocument/2006/relationships/hyperlink" Target="mailto:natalia.serrato17@gmail.com" TargetMode="External"/><Relationship Id="rId120" Type="http://schemas.openxmlformats.org/officeDocument/2006/relationships/hyperlink" Target="mailto:ing.miguel.bejarano@gmail.com" TargetMode="External"/><Relationship Id="rId141" Type="http://schemas.openxmlformats.org/officeDocument/2006/relationships/hyperlink" Target="mailto:huertashosman@gmail.com" TargetMode="External"/><Relationship Id="rId7" Type="http://schemas.openxmlformats.org/officeDocument/2006/relationships/hyperlink" Target="https://community.secop.gov.co/Public/Tendering/OpportunityDetail/Index?noticeUID=CO1.NTC.3824965&amp;isFromPublicArea=True&amp;isModal=False" TargetMode="External"/><Relationship Id="rId162" Type="http://schemas.openxmlformats.org/officeDocument/2006/relationships/hyperlink" Target="mailto:jhon.castanove@cun.edu.co" TargetMode="External"/><Relationship Id="rId183" Type="http://schemas.openxmlformats.org/officeDocument/2006/relationships/hyperlink" Target="mailto:paboncastellanotirzon@gmail.com" TargetMode="External"/><Relationship Id="rId218" Type="http://schemas.openxmlformats.org/officeDocument/2006/relationships/hyperlink" Target="mailto:juanjo12375@hotmail.com" TargetMode="External"/><Relationship Id="rId239" Type="http://schemas.openxmlformats.org/officeDocument/2006/relationships/hyperlink" Target="mailto:alq1523@hotmail.com" TargetMode="External"/><Relationship Id="rId250" Type="http://schemas.openxmlformats.org/officeDocument/2006/relationships/hyperlink" Target="mailto:ncifuentesmorales3@gmail.com" TargetMode="External"/><Relationship Id="rId271" Type="http://schemas.openxmlformats.org/officeDocument/2006/relationships/hyperlink" Target="mailto:noheve66@gmail.com" TargetMode="External"/><Relationship Id="rId292" Type="http://schemas.openxmlformats.org/officeDocument/2006/relationships/hyperlink" Target="https://community.secop.gov.co/Public/Tendering/OpportunityDetail/Index?noticeUID=CO1.NTC.3843041&amp;isFromPublicArea=True&amp;isModal=False" TargetMode="External"/><Relationship Id="rId306" Type="http://schemas.openxmlformats.org/officeDocument/2006/relationships/printerSettings" Target="../printerSettings/printerSettings1.bin"/><Relationship Id="rId24" Type="http://schemas.openxmlformats.org/officeDocument/2006/relationships/hyperlink" Target="https://community.secop.gov.co/Public/Tendering/OpportunityDetail/Index?noticeUID=CO1.NTC.3856604&amp;isFromPublicArea=True&amp;isModal=False" TargetMode="External"/><Relationship Id="rId45" Type="http://schemas.openxmlformats.org/officeDocument/2006/relationships/hyperlink" Target="https://community.secop.gov.co/Public/Tendering/OpportunityDetail/Index?noticeUID=CO1.NTC.3888043&amp;isFromPublicArea=True&amp;isModal=False" TargetMode="External"/><Relationship Id="rId66" Type="http://schemas.openxmlformats.org/officeDocument/2006/relationships/hyperlink" Target="mailto:caleb.emanuel231@gmail.com" TargetMode="External"/><Relationship Id="rId87" Type="http://schemas.openxmlformats.org/officeDocument/2006/relationships/hyperlink" Target="mailto:lina.romero2644@gmail.com" TargetMode="External"/><Relationship Id="rId110" Type="http://schemas.openxmlformats.org/officeDocument/2006/relationships/hyperlink" Target="mailto:carmenarrieta08@gmail.com" TargetMode="External"/><Relationship Id="rId131" Type="http://schemas.openxmlformats.org/officeDocument/2006/relationships/hyperlink" Target="mailto:anitapc44@hotmail.com" TargetMode="External"/><Relationship Id="rId152" Type="http://schemas.openxmlformats.org/officeDocument/2006/relationships/hyperlink" Target="mailto:yecikasg9@hotmail.com" TargetMode="External"/><Relationship Id="rId173" Type="http://schemas.openxmlformats.org/officeDocument/2006/relationships/hyperlink" Target="mailto:soniasantosgil@hotmail.com" TargetMode="External"/><Relationship Id="rId194" Type="http://schemas.openxmlformats.org/officeDocument/2006/relationships/hyperlink" Target="mailto:anaipalacio20@gmail.com" TargetMode="External"/><Relationship Id="rId208" Type="http://schemas.openxmlformats.org/officeDocument/2006/relationships/hyperlink" Target="mailto:jalo2140@hotmail.com" TargetMode="External"/><Relationship Id="rId229" Type="http://schemas.openxmlformats.org/officeDocument/2006/relationships/hyperlink" Target="mailto:leidyabogada25@gmail.com" TargetMode="External"/><Relationship Id="rId240" Type="http://schemas.openxmlformats.org/officeDocument/2006/relationships/hyperlink" Target="mailto:ingmauriciodiazrubio@gmail.com" TargetMode="External"/><Relationship Id="rId261" Type="http://schemas.openxmlformats.org/officeDocument/2006/relationships/hyperlink" Target="mailto:vale_durandiaz98@hotmail.com" TargetMode="External"/><Relationship Id="rId14" Type="http://schemas.openxmlformats.org/officeDocument/2006/relationships/hyperlink" Target="https://community.secop.gov.co/Public/Tendering/OpportunityDetail/Index?noticeUID=CO1.NTC.3843796&amp;isFromPublicArea=True&amp;isModal=False" TargetMode="External"/><Relationship Id="rId35" Type="http://schemas.openxmlformats.org/officeDocument/2006/relationships/hyperlink" Target="https://community.secop.gov.co/Public/Tendering/OpportunityDetail/Index?noticeUID=CO1.NTC.3880983&amp;isFromPublicArea=True&amp;isModal=False" TargetMode="External"/><Relationship Id="rId56" Type="http://schemas.openxmlformats.org/officeDocument/2006/relationships/hyperlink" Target="mailto:leonardo.narvaez28@gmail.com" TargetMode="External"/><Relationship Id="rId77" Type="http://schemas.openxmlformats.org/officeDocument/2006/relationships/hyperlink" Target="mailto:junuvi2000@hotmail.com" TargetMode="External"/><Relationship Id="rId100" Type="http://schemas.openxmlformats.org/officeDocument/2006/relationships/hyperlink" Target="mailto:ruizguerrero.andrea@gmail.com" TargetMode="External"/><Relationship Id="rId282" Type="http://schemas.openxmlformats.org/officeDocument/2006/relationships/hyperlink" Target="mailto:estfenayserna322@gmail.com" TargetMode="External"/><Relationship Id="rId8" Type="http://schemas.openxmlformats.org/officeDocument/2006/relationships/hyperlink" Target="https://community.secop.gov.co/Public/Tendering/OpportunityDetail/Index?noticeUID=CO1.NTC.3825436&amp;isFromPublicArea=True&amp;isModal=False" TargetMode="External"/><Relationship Id="rId98" Type="http://schemas.openxmlformats.org/officeDocument/2006/relationships/hyperlink" Target="mailto:andrescardozo94@hotmail.com" TargetMode="External"/><Relationship Id="rId121" Type="http://schemas.openxmlformats.org/officeDocument/2006/relationships/hyperlink" Target="mailto:montoyacadavidf@gmail.com" TargetMode="External"/><Relationship Id="rId142" Type="http://schemas.openxmlformats.org/officeDocument/2006/relationships/hyperlink" Target="mailto:jotalepat@hotmail.com" TargetMode="External"/><Relationship Id="rId163" Type="http://schemas.openxmlformats.org/officeDocument/2006/relationships/hyperlink" Target="mailto:diegotkd7257@gmail.com" TargetMode="External"/><Relationship Id="rId184" Type="http://schemas.openxmlformats.org/officeDocument/2006/relationships/hyperlink" Target="mailto:mcadenamahecha@hotmail.com" TargetMode="External"/><Relationship Id="rId219" Type="http://schemas.openxmlformats.org/officeDocument/2006/relationships/hyperlink" Target="mailto:nohoraportela@hotmail.com" TargetMode="External"/><Relationship Id="rId230" Type="http://schemas.openxmlformats.org/officeDocument/2006/relationships/hyperlink" Target="mailto:andresnieto073@gmail.com" TargetMode="External"/><Relationship Id="rId251" Type="http://schemas.openxmlformats.org/officeDocument/2006/relationships/hyperlink" Target="mailto:david-21042011@hotmail.com" TargetMode="External"/><Relationship Id="rId25" Type="http://schemas.openxmlformats.org/officeDocument/2006/relationships/hyperlink" Target="https://community.secop.gov.co/Public/Tendering/OpportunityDetail/Index?noticeUID=CO1.NTC.3855016&amp;isFromPublicArea=True&amp;isModal=False" TargetMode="External"/><Relationship Id="rId46" Type="http://schemas.openxmlformats.org/officeDocument/2006/relationships/hyperlink" Target="mailto:jclaserna@yahoo.com" TargetMode="External"/><Relationship Id="rId67" Type="http://schemas.openxmlformats.org/officeDocument/2006/relationships/hyperlink" Target="mailto:jcabril44@gmail.com" TargetMode="External"/><Relationship Id="rId272" Type="http://schemas.openxmlformats.org/officeDocument/2006/relationships/hyperlink" Target="mailto:davi100581@gmail.com" TargetMode="External"/><Relationship Id="rId293" Type="http://schemas.openxmlformats.org/officeDocument/2006/relationships/hyperlink" Target="https://community.secop.gov.co/Public/Tendering/OpportunityDetail/Index?noticeUID=CO1.NTC.3843041&amp;isFromPublicArea=True&amp;isModal=False" TargetMode="External"/><Relationship Id="rId307" Type="http://schemas.openxmlformats.org/officeDocument/2006/relationships/vmlDrawing" Target="../drawings/vmlDrawing1.vml"/><Relationship Id="rId88" Type="http://schemas.openxmlformats.org/officeDocument/2006/relationships/hyperlink" Target="mailto:kevynagr@gmail.com" TargetMode="External"/><Relationship Id="rId111" Type="http://schemas.openxmlformats.org/officeDocument/2006/relationships/hyperlink" Target="mailto:oscarcapera.r@outlook.com" TargetMode="External"/><Relationship Id="rId132" Type="http://schemas.openxmlformats.org/officeDocument/2006/relationships/hyperlink" Target="mailto:jhennifer.villa1986@gmail.com" TargetMode="External"/><Relationship Id="rId153" Type="http://schemas.openxmlformats.org/officeDocument/2006/relationships/hyperlink" Target="mailto:mapaula1410@gmail.com" TargetMode="External"/><Relationship Id="rId174" Type="http://schemas.openxmlformats.org/officeDocument/2006/relationships/hyperlink" Target="mailto:espitiaacero1016@hotmail.com" TargetMode="External"/><Relationship Id="rId195" Type="http://schemas.openxmlformats.org/officeDocument/2006/relationships/hyperlink" Target="mailto:jairojulianrivera75@gmail.com" TargetMode="External"/><Relationship Id="rId209" Type="http://schemas.openxmlformats.org/officeDocument/2006/relationships/hyperlink" Target="mailto:richart577@hotmail.com" TargetMode="External"/><Relationship Id="rId220" Type="http://schemas.openxmlformats.org/officeDocument/2006/relationships/hyperlink" Target="mailto:hernandorodriguezmoncada@gmail.com" TargetMode="External"/><Relationship Id="rId241" Type="http://schemas.openxmlformats.org/officeDocument/2006/relationships/hyperlink" Target="mailto:paola.rc022@gmail.com" TargetMode="External"/><Relationship Id="rId15" Type="http://schemas.openxmlformats.org/officeDocument/2006/relationships/hyperlink" Target="https://community.secop.gov.co/Public/Tendering/OpportunityDetail/Index?noticeUID=CO1.NTC.3843029&amp;isFromPublicArea=True&amp;isModal=False" TargetMode="External"/><Relationship Id="rId36" Type="http://schemas.openxmlformats.org/officeDocument/2006/relationships/hyperlink" Target="https://community.secop.gov.co/Public/Tendering/OpportunityDetail/Index?noticeUID=CO1.NTC.3881319&amp;isFromPublicArea=True&amp;isModal=False" TargetMode="External"/><Relationship Id="rId57" Type="http://schemas.openxmlformats.org/officeDocument/2006/relationships/hyperlink" Target="mailto:yasu2070@hotmail.com" TargetMode="External"/><Relationship Id="rId262" Type="http://schemas.openxmlformats.org/officeDocument/2006/relationships/hyperlink" Target="mailto:linab.tarazona@gmail.com" TargetMode="External"/><Relationship Id="rId283" Type="http://schemas.openxmlformats.org/officeDocument/2006/relationships/hyperlink" Target="mailto:david.031671@gmail.com" TargetMode="External"/><Relationship Id="rId78" Type="http://schemas.openxmlformats.org/officeDocument/2006/relationships/hyperlink" Target="mailto:gabimorevelasco@hotmail.com" TargetMode="External"/><Relationship Id="rId99" Type="http://schemas.openxmlformats.org/officeDocument/2006/relationships/hyperlink" Target="mailto:anemixel@hotmail.com" TargetMode="External"/><Relationship Id="rId101" Type="http://schemas.openxmlformats.org/officeDocument/2006/relationships/hyperlink" Target="mailto:luis333soler@gmail.com" TargetMode="External"/><Relationship Id="rId122" Type="http://schemas.openxmlformats.org/officeDocument/2006/relationships/hyperlink" Target="mailto:andrescarto96@gmail.com" TargetMode="External"/><Relationship Id="rId143" Type="http://schemas.openxmlformats.org/officeDocument/2006/relationships/hyperlink" Target="mailto:arq.jsebastianramirez@gmail.com" TargetMode="External"/><Relationship Id="rId164" Type="http://schemas.openxmlformats.org/officeDocument/2006/relationships/hyperlink" Target="mailto:adrianamoreno2034@gmail.com" TargetMode="External"/><Relationship Id="rId185" Type="http://schemas.openxmlformats.org/officeDocument/2006/relationships/hyperlink" Target="mailto:jeferson1613.jb@gmail.com" TargetMode="External"/><Relationship Id="rId9" Type="http://schemas.openxmlformats.org/officeDocument/2006/relationships/hyperlink" Target="https://community.secop.gov.co/Public/Tendering/OpportunityDetail/Index?noticeUID=CO1.NTC.3826459&amp;isFromPublicArea=True&amp;isModal=False" TargetMode="External"/><Relationship Id="rId210" Type="http://schemas.openxmlformats.org/officeDocument/2006/relationships/hyperlink" Target="mailto:gonzalezidmiguelrd@gmail.com" TargetMode="External"/><Relationship Id="rId26" Type="http://schemas.openxmlformats.org/officeDocument/2006/relationships/hyperlink" Target="https://community.secop.gov.co/Public/Tendering/OpportunityDetail/Index?noticeUID=CO1.NTC.3846656&amp;isFromPublicArea=True&amp;isModal=False" TargetMode="External"/><Relationship Id="rId231" Type="http://schemas.openxmlformats.org/officeDocument/2006/relationships/hyperlink" Target="mailto:pcastronm@gmail.com" TargetMode="External"/><Relationship Id="rId252" Type="http://schemas.openxmlformats.org/officeDocument/2006/relationships/hyperlink" Target="mailto:edigon1107@hotmail.com" TargetMode="External"/><Relationship Id="rId273" Type="http://schemas.openxmlformats.org/officeDocument/2006/relationships/hyperlink" Target="mailto:lg5vasquez@hotmail.com" TargetMode="External"/><Relationship Id="rId294" Type="http://schemas.openxmlformats.org/officeDocument/2006/relationships/hyperlink" Target="https://community.secop.gov.co/Public/Tendering/OpportunityDetail/Index?noticeUID=CO1.NTC.3843654&amp;isFromPublicArea=True&amp;isModal=False" TargetMode="External"/><Relationship Id="rId308" Type="http://schemas.openxmlformats.org/officeDocument/2006/relationships/comments" Target="../comments1.xml"/><Relationship Id="rId47" Type="http://schemas.openxmlformats.org/officeDocument/2006/relationships/hyperlink" Target="mailto:juan.ramirez.montoya@gmail.com" TargetMode="External"/><Relationship Id="rId68" Type="http://schemas.openxmlformats.org/officeDocument/2006/relationships/hyperlink" Target="mailto:soloescribediego@gmail.com" TargetMode="External"/><Relationship Id="rId89" Type="http://schemas.openxmlformats.org/officeDocument/2006/relationships/hyperlink" Target="mailto:lualdupe1990@gmail.com" TargetMode="External"/><Relationship Id="rId112" Type="http://schemas.openxmlformats.org/officeDocument/2006/relationships/hyperlink" Target="mailto:javiergrg71@gmail.com" TargetMode="External"/><Relationship Id="rId133" Type="http://schemas.openxmlformats.org/officeDocument/2006/relationships/hyperlink" Target="mailto:javrey_001@hotmail.com" TargetMode="External"/><Relationship Id="rId154" Type="http://schemas.openxmlformats.org/officeDocument/2006/relationships/hyperlink" Target="mailto:monicaaleja_9@hotmail.com" TargetMode="External"/><Relationship Id="rId175" Type="http://schemas.openxmlformats.org/officeDocument/2006/relationships/hyperlink" Target="mailto:racielo59@gmail.com" TargetMode="External"/><Relationship Id="rId196" Type="http://schemas.openxmlformats.org/officeDocument/2006/relationships/hyperlink" Target="mailto:paogomezlema@gmail.com" TargetMode="External"/><Relationship Id="rId200" Type="http://schemas.openxmlformats.org/officeDocument/2006/relationships/hyperlink" Target="mailto:daniel.camelo_67@hotmail.com" TargetMode="External"/><Relationship Id="rId16" Type="http://schemas.openxmlformats.org/officeDocument/2006/relationships/hyperlink" Target="https://community.secop.gov.co/Public/Tendering/OpportunityDetail/Index?noticeUID=CO1.NTC.3843814&amp;isFromPublicArea=True&amp;isModal=False" TargetMode="External"/><Relationship Id="rId221" Type="http://schemas.openxmlformats.org/officeDocument/2006/relationships/hyperlink" Target="mailto:jcrubiano95@gmail.com" TargetMode="External"/><Relationship Id="rId242" Type="http://schemas.openxmlformats.org/officeDocument/2006/relationships/hyperlink" Target="mailto:inpaleve94@gmail.com" TargetMode="External"/><Relationship Id="rId263" Type="http://schemas.openxmlformats.org/officeDocument/2006/relationships/hyperlink" Target="mailto:sualil@hotmail.com" TargetMode="External"/><Relationship Id="rId284" Type="http://schemas.openxmlformats.org/officeDocument/2006/relationships/hyperlink" Target="mailto:nancymunevar98@gmail.co" TargetMode="External"/><Relationship Id="rId37" Type="http://schemas.openxmlformats.org/officeDocument/2006/relationships/hyperlink" Target="https://community.secop.gov.co/Public/Tendering/OpportunityDetail/Index?noticeUID=CO1.NTC.3881316&amp;isFromPublicArea=True&amp;isModal=False" TargetMode="External"/><Relationship Id="rId58" Type="http://schemas.openxmlformats.org/officeDocument/2006/relationships/hyperlink" Target="mailto:alehernandezcar@unal.edu.co" TargetMode="External"/><Relationship Id="rId79" Type="http://schemas.openxmlformats.org/officeDocument/2006/relationships/hyperlink" Target="mailto:angmelendez23@gmail.com" TargetMode="External"/><Relationship Id="rId102" Type="http://schemas.openxmlformats.org/officeDocument/2006/relationships/hyperlink" Target="mailto:hugolopezortega@hotmail.com" TargetMode="External"/><Relationship Id="rId123" Type="http://schemas.openxmlformats.org/officeDocument/2006/relationships/hyperlink" Target="mailto:tatisjeye@gmail.com" TargetMode="External"/><Relationship Id="rId144" Type="http://schemas.openxmlformats.org/officeDocument/2006/relationships/hyperlink" Target="mailto:freddyyrojass@hotmail.com" TargetMode="External"/><Relationship Id="rId589" Type="http://schemas.microsoft.com/office/2017/10/relationships/threadedComment" Target="../threadedComments/threadedComment1.xml"/><Relationship Id="rId90" Type="http://schemas.openxmlformats.org/officeDocument/2006/relationships/hyperlink" Target="mailto:jairesacevedo@gmail.com" TargetMode="External"/><Relationship Id="rId165" Type="http://schemas.openxmlformats.org/officeDocument/2006/relationships/hyperlink" Target="mailto:kmiferval@gmail.com" TargetMode="External"/><Relationship Id="rId186" Type="http://schemas.openxmlformats.org/officeDocument/2006/relationships/hyperlink" Target="mailto:ginasofia2001@gmail.com" TargetMode="External"/><Relationship Id="rId211" Type="http://schemas.openxmlformats.org/officeDocument/2006/relationships/hyperlink" Target="mailto:jessicalopez.a2310@gmail.com" TargetMode="External"/><Relationship Id="rId232" Type="http://schemas.openxmlformats.org/officeDocument/2006/relationships/hyperlink" Target="mailto:nelpio12@hotmail.com" TargetMode="External"/><Relationship Id="rId253" Type="http://schemas.openxmlformats.org/officeDocument/2006/relationships/hyperlink" Target="mailto:dianavelandia.2018@gmail.com" TargetMode="External"/><Relationship Id="rId274" Type="http://schemas.openxmlformats.org/officeDocument/2006/relationships/hyperlink" Target="mailto:paolaandreaperezreina@gmail.com" TargetMode="External"/><Relationship Id="rId295" Type="http://schemas.openxmlformats.org/officeDocument/2006/relationships/hyperlink" Target="https://community.secop.gov.co/Public/Tendering/OpportunityDetail/Index?noticeUID=CO1.NTC.3857440&amp;isFromPublicArea=True&amp;isModal=False" TargetMode="External"/><Relationship Id="rId27" Type="http://schemas.openxmlformats.org/officeDocument/2006/relationships/hyperlink" Target="https://community.secop.gov.co/Public/Tendering/OpportunityDetail/Index?noticeUID=CO1.NTC.3845733&amp;isFromPublicArea=True&amp;isModal=False" TargetMode="External"/><Relationship Id="rId48" Type="http://schemas.openxmlformats.org/officeDocument/2006/relationships/hyperlink" Target="mailto:edwardjerezgonzalez@gmail.com" TargetMode="External"/><Relationship Id="rId69" Type="http://schemas.openxmlformats.org/officeDocument/2006/relationships/hyperlink" Target="mailto:bbautista0323@gmail.com" TargetMode="External"/><Relationship Id="rId113" Type="http://schemas.openxmlformats.org/officeDocument/2006/relationships/hyperlink" Target="mailto:sergioortizred@gmail.com" TargetMode="External"/><Relationship Id="rId134" Type="http://schemas.openxmlformats.org/officeDocument/2006/relationships/hyperlink" Target="mailto:construirvida2005@gmail.com" TargetMode="External"/><Relationship Id="rId80" Type="http://schemas.openxmlformats.org/officeDocument/2006/relationships/hyperlink" Target="mailto:mallavialfontibon2020@gmail.com" TargetMode="External"/><Relationship Id="rId155" Type="http://schemas.openxmlformats.org/officeDocument/2006/relationships/hyperlink" Target="mailto:alissonovalle2022@gmail.com" TargetMode="External"/><Relationship Id="rId176" Type="http://schemas.openxmlformats.org/officeDocument/2006/relationships/hyperlink" Target="mailto:ju_andavid0000@hotmail.com" TargetMode="External"/><Relationship Id="rId197" Type="http://schemas.openxmlformats.org/officeDocument/2006/relationships/hyperlink" Target="mailto:wruizb0691@gmail.com" TargetMode="External"/><Relationship Id="rId201" Type="http://schemas.openxmlformats.org/officeDocument/2006/relationships/hyperlink" Target="mailto:meilyn0516@hotmail.com" TargetMode="External"/><Relationship Id="rId222" Type="http://schemas.openxmlformats.org/officeDocument/2006/relationships/hyperlink" Target="mailto:lindsasc15@hotmail.com" TargetMode="External"/><Relationship Id="rId243" Type="http://schemas.openxmlformats.org/officeDocument/2006/relationships/hyperlink" Target="mailto:omaet.fer11@gmail.com" TargetMode="External"/><Relationship Id="rId264" Type="http://schemas.openxmlformats.org/officeDocument/2006/relationships/hyperlink" Target="mailto:alfonsolaverdenivia@gmail.com" TargetMode="External"/><Relationship Id="rId285" Type="http://schemas.openxmlformats.org/officeDocument/2006/relationships/hyperlink" Target="mailto:cdgonzalezfabian06@gmail.com" TargetMode="External"/><Relationship Id="rId17" Type="http://schemas.openxmlformats.org/officeDocument/2006/relationships/hyperlink" Target="https://community.secop.gov.co/Public/Tendering/OpportunityDetail/Index?noticeUID=CO1.NTC.3857386&amp;isFromPublicArea=True&amp;isModal=False" TargetMode="External"/><Relationship Id="rId38" Type="http://schemas.openxmlformats.org/officeDocument/2006/relationships/hyperlink" Target="https://community.secop.gov.co/Public/Tendering/OpportunityDetail/Index?noticeUID=CO1.NTC.3881507&amp;isFromPublicArea=True&amp;isModal=False" TargetMode="External"/><Relationship Id="rId59" Type="http://schemas.openxmlformats.org/officeDocument/2006/relationships/hyperlink" Target="https://community.secop.gov.co/Public/Tendering/OpportunityDetail/Index?noticeUID=CO1.NTC.3888044&amp;isFromPublicArea=True&amp;isModal=False" TargetMode="External"/><Relationship Id="rId103" Type="http://schemas.openxmlformats.org/officeDocument/2006/relationships/hyperlink" Target="mailto:adri.jimenezm@hotmail.com" TargetMode="External"/><Relationship Id="rId124" Type="http://schemas.openxmlformats.org/officeDocument/2006/relationships/hyperlink" Target="mailto:cristian.nustes1@gmail.com" TargetMode="External"/><Relationship Id="rId70" Type="http://schemas.openxmlformats.org/officeDocument/2006/relationships/hyperlink" Target="mailto:cami.henao195@gmail.com" TargetMode="External"/><Relationship Id="rId91" Type="http://schemas.openxmlformats.org/officeDocument/2006/relationships/hyperlink" Target="mailto:olivermtt@hotmail.com" TargetMode="External"/><Relationship Id="rId145" Type="http://schemas.openxmlformats.org/officeDocument/2006/relationships/hyperlink" Target="mailto:angeldejesuscastroria@gmail.com" TargetMode="External"/><Relationship Id="rId166" Type="http://schemas.openxmlformats.org/officeDocument/2006/relationships/hyperlink" Target="mailto:giselacharry@gmail.com" TargetMode="External"/><Relationship Id="rId187" Type="http://schemas.openxmlformats.org/officeDocument/2006/relationships/hyperlink" Target="mailto:afragosootero@gmail.com" TargetMode="External"/><Relationship Id="rId1" Type="http://schemas.openxmlformats.org/officeDocument/2006/relationships/hyperlink" Target="https://community.secop.gov.co/Public/Tendering/OpportunityDetail/Index?noticeUID=CO1.NTC.3790243&amp;isFromPublicArea=True&amp;isModal=False" TargetMode="External"/><Relationship Id="rId212" Type="http://schemas.openxmlformats.org/officeDocument/2006/relationships/hyperlink" Target="mailto:nchitivag@gmail.com" TargetMode="External"/><Relationship Id="rId233" Type="http://schemas.openxmlformats.org/officeDocument/2006/relationships/hyperlink" Target="mailto:mdcomercioexterior1559@gmail.com" TargetMode="External"/><Relationship Id="rId254" Type="http://schemas.openxmlformats.org/officeDocument/2006/relationships/hyperlink" Target="mailto:tebanpiramanrique@gmail.com" TargetMode="External"/><Relationship Id="rId28" Type="http://schemas.openxmlformats.org/officeDocument/2006/relationships/hyperlink" Target="https://community.secop.gov.co/Public/Tendering/OpportunityDetail/Index?noticeUID=CO1.NTC.3866028&amp;isFromPublicArea=True&amp;isModal=False" TargetMode="External"/><Relationship Id="rId49" Type="http://schemas.openxmlformats.org/officeDocument/2006/relationships/hyperlink" Target="mailto:m.isabelmontoya@hotmail.com" TargetMode="External"/><Relationship Id="rId114" Type="http://schemas.openxmlformats.org/officeDocument/2006/relationships/hyperlink" Target="mailto:cahehe18@gmail.com" TargetMode="External"/><Relationship Id="rId275" Type="http://schemas.openxmlformats.org/officeDocument/2006/relationships/hyperlink" Target="mailto:jenniferdanielacamposrozo@gmail.com" TargetMode="External"/><Relationship Id="rId296" Type="http://schemas.openxmlformats.org/officeDocument/2006/relationships/hyperlink" Target="https://community.secop.gov.co/Public/Tendering/OpportunityDetail/Index?noticeUID=CO1.NTC.3831370&amp;isFromPublicArea=True&amp;isModal=False" TargetMode="External"/><Relationship Id="rId300" Type="http://schemas.openxmlformats.org/officeDocument/2006/relationships/hyperlink" Target="https://community.secop.gov.co/Public/Tendering/OpportunityDetail/Index?noticeUID=CO1.NTC.4828422&amp;isFromPublicArea=True&amp;isModal=False" TargetMode="External"/><Relationship Id="rId60" Type="http://schemas.openxmlformats.org/officeDocument/2006/relationships/hyperlink" Target="mailto:jaison9402@hotmail.com" TargetMode="External"/><Relationship Id="rId81" Type="http://schemas.openxmlformats.org/officeDocument/2006/relationships/hyperlink" Target="mailto:cesarljlv@gmail.com" TargetMode="External"/><Relationship Id="rId135" Type="http://schemas.openxmlformats.org/officeDocument/2006/relationships/hyperlink" Target="mailto:mariaibuitrago@gmail.com" TargetMode="External"/><Relationship Id="rId156" Type="http://schemas.openxmlformats.org/officeDocument/2006/relationships/hyperlink" Target="mailto:ingediegoud@gmail.com" TargetMode="External"/><Relationship Id="rId177" Type="http://schemas.openxmlformats.org/officeDocument/2006/relationships/hyperlink" Target="mailto:mi.soproducciones@gmail.com" TargetMode="External"/><Relationship Id="rId198" Type="http://schemas.openxmlformats.org/officeDocument/2006/relationships/hyperlink" Target="mailto:archilita@hotmail.com" TargetMode="External"/><Relationship Id="rId202" Type="http://schemas.openxmlformats.org/officeDocument/2006/relationships/hyperlink" Target="mailto:lizvasquezramirez@gmail.com" TargetMode="External"/><Relationship Id="rId223" Type="http://schemas.openxmlformats.org/officeDocument/2006/relationships/hyperlink" Target="mailto:cueroeri@hotmail.com" TargetMode="External"/><Relationship Id="rId244" Type="http://schemas.openxmlformats.org/officeDocument/2006/relationships/hyperlink" Target="https://community.secop.gov.co/Public/Tendering/OpportunityDetail/Index?noticeUID=CO1.NTC.4659588&amp;isFromPublicArea=True&amp;isModal=False" TargetMode="External"/><Relationship Id="rId18" Type="http://schemas.openxmlformats.org/officeDocument/2006/relationships/hyperlink" Target="https://community.secop.gov.co/Public/Tendering/OpportunityDetail/Index?noticeUID=CO1.NTC.3861649&amp;isFromPublicArea=True&amp;isModal=False" TargetMode="External"/><Relationship Id="rId39" Type="http://schemas.openxmlformats.org/officeDocument/2006/relationships/hyperlink" Target="https://community.secop.gov.co/Public/Tendering/OpportunityDetail/Index?noticeUID=CO1.NTC.3882421&amp;isFromPublicArea=True&amp;isModal=False" TargetMode="External"/><Relationship Id="rId265" Type="http://schemas.openxmlformats.org/officeDocument/2006/relationships/hyperlink" Target="mailto:guzm4n.bri4n@gmail.com" TargetMode="External"/><Relationship Id="rId286" Type="http://schemas.openxmlformats.org/officeDocument/2006/relationships/hyperlink" Target="mailto:adrianakmunara@gmail.com" TargetMode="External"/><Relationship Id="rId50" Type="http://schemas.openxmlformats.org/officeDocument/2006/relationships/hyperlink" Target="mailto:yolanda-bayona@hotmail.com" TargetMode="External"/><Relationship Id="rId104" Type="http://schemas.openxmlformats.org/officeDocument/2006/relationships/hyperlink" Target="mailto:lilian7595@hotmail.com" TargetMode="External"/><Relationship Id="rId125" Type="http://schemas.openxmlformats.org/officeDocument/2006/relationships/hyperlink" Target="mailto:lizdaniagc@gmail.com" TargetMode="External"/><Relationship Id="rId146" Type="http://schemas.openxmlformats.org/officeDocument/2006/relationships/hyperlink" Target="mailto:contreos10@gmail.com" TargetMode="External"/><Relationship Id="rId167" Type="http://schemas.openxmlformats.org/officeDocument/2006/relationships/hyperlink" Target="mailto:ljohana79@hotmail.com" TargetMode="External"/><Relationship Id="rId188" Type="http://schemas.openxmlformats.org/officeDocument/2006/relationships/hyperlink" Target="mailto:luiscarlosramosvargas1960@gmail.com" TargetMode="External"/><Relationship Id="rId71" Type="http://schemas.openxmlformats.org/officeDocument/2006/relationships/hyperlink" Target="https://community.secop.gov.co/Public/Tendering/OpportunityDetail/Index?noticeUID=CO1.NTC.3935389&amp;isFromPublicArea=True&amp;isModal=False" TargetMode="External"/><Relationship Id="rId92" Type="http://schemas.openxmlformats.org/officeDocument/2006/relationships/hyperlink" Target="mailto:sandratrivino12@hotmail.com" TargetMode="External"/><Relationship Id="rId213" Type="http://schemas.openxmlformats.org/officeDocument/2006/relationships/hyperlink" Target="mailto:sanchezmaria.12@hotmail.com" TargetMode="External"/><Relationship Id="rId234" Type="http://schemas.openxmlformats.org/officeDocument/2006/relationships/hyperlink" Target="mailto:ternera.daniela@javeriana.edu.co" TargetMode="External"/><Relationship Id="rId2" Type="http://schemas.openxmlformats.org/officeDocument/2006/relationships/hyperlink" Target="https://community.secop.gov.co/Public/Tendering/OpportunityDetail/Index?noticeUID=CO1.NTC.3808747&amp;isFromPublicArea=True&amp;isModal=False" TargetMode="External"/><Relationship Id="rId29" Type="http://schemas.openxmlformats.org/officeDocument/2006/relationships/hyperlink" Target="https://community.secop.gov.co/Public/Tendering/OpportunityDetail/Index?noticeUID=CO1.NTC.3866033&amp;isFromPublicArea=True&amp;isModal=False" TargetMode="External"/><Relationship Id="rId255" Type="http://schemas.openxmlformats.org/officeDocument/2006/relationships/hyperlink" Target="mailto:diegopu1917@gmail.com" TargetMode="External"/><Relationship Id="rId276" Type="http://schemas.openxmlformats.org/officeDocument/2006/relationships/hyperlink" Target="mailto:wendyjo0101@gmail.com" TargetMode="External"/><Relationship Id="rId297" Type="http://schemas.openxmlformats.org/officeDocument/2006/relationships/hyperlink" Target="https://community.secop.gov.co/Public/Tendering/OpportunityDetail/Index?noticeUID=CO1.NTC.3923062&amp;isFromPublicArea=True&amp;isModal=False" TargetMode="External"/><Relationship Id="rId40" Type="http://schemas.openxmlformats.org/officeDocument/2006/relationships/hyperlink" Target="https://community.secop.gov.co/Public/Tendering/OpportunityDetail/Index?noticeUID=CO1.NTC.3882329&amp;isFromPublicArea=True&amp;isModal=False" TargetMode="External"/><Relationship Id="rId115" Type="http://schemas.openxmlformats.org/officeDocument/2006/relationships/hyperlink" Target="mailto:mepf2010@gmail.com" TargetMode="External"/><Relationship Id="rId136" Type="http://schemas.openxmlformats.org/officeDocument/2006/relationships/hyperlink" Target="mailto:firacativeanderson@gmail.com" TargetMode="External"/><Relationship Id="rId157" Type="http://schemas.openxmlformats.org/officeDocument/2006/relationships/hyperlink" Target="mailto:santiagovillegastorres@gmail.com" TargetMode="External"/><Relationship Id="rId178" Type="http://schemas.openxmlformats.org/officeDocument/2006/relationships/hyperlink" Target="mailto:naranjoangie2999@gmail.com" TargetMode="External"/><Relationship Id="rId301" Type="http://schemas.openxmlformats.org/officeDocument/2006/relationships/hyperlink" Target="https://community.secop.gov.co/Public/Tendering/OpportunityDetail/Index?noticeUID=CO1.NTC.4987272&amp;isFromPublicArea=True&amp;isModal=False" TargetMode="External"/><Relationship Id="rId61" Type="http://schemas.openxmlformats.org/officeDocument/2006/relationships/hyperlink" Target="mailto:jcleongmartires@gmail.com" TargetMode="External"/><Relationship Id="rId82" Type="http://schemas.openxmlformats.org/officeDocument/2006/relationships/hyperlink" Target="mailto:danimero1@hotmail.com" TargetMode="External"/><Relationship Id="rId199" Type="http://schemas.openxmlformats.org/officeDocument/2006/relationships/hyperlink" Target="mailto:lawyer2585@hotmail.com" TargetMode="External"/><Relationship Id="rId203" Type="http://schemas.openxmlformats.org/officeDocument/2006/relationships/hyperlink" Target="mailto:camilah28@gmail.com" TargetMode="External"/><Relationship Id="rId19" Type="http://schemas.openxmlformats.org/officeDocument/2006/relationships/hyperlink" Target="https://community.secop.gov.co/Public/Tendering/OpportunityDetail/Index?noticeUID=CO1.NTC.3857064&amp;isFromPublicArea=True&amp;isModal=False" TargetMode="External"/><Relationship Id="rId224" Type="http://schemas.openxmlformats.org/officeDocument/2006/relationships/hyperlink" Target="mailto:lau-1104@hotmail.com" TargetMode="External"/><Relationship Id="rId245" Type="http://schemas.openxmlformats.org/officeDocument/2006/relationships/hyperlink" Target="mailto:maria.cruze@usantotomas.edu.co" TargetMode="External"/><Relationship Id="rId266" Type="http://schemas.openxmlformats.org/officeDocument/2006/relationships/hyperlink" Target="mailto:jlbeltranc@gmail.com" TargetMode="External"/><Relationship Id="rId287" Type="http://schemas.openxmlformats.org/officeDocument/2006/relationships/hyperlink" Target="mailto:sdcb96@hotmail.com" TargetMode="External"/><Relationship Id="rId30" Type="http://schemas.openxmlformats.org/officeDocument/2006/relationships/hyperlink" Target="https://community.secop.gov.co/Public/Tendering/OpportunityDetail/Index?noticeUID=CO1.NTC.3865873&amp;isFromPublicArea=True&amp;isModal=False" TargetMode="External"/><Relationship Id="rId105" Type="http://schemas.openxmlformats.org/officeDocument/2006/relationships/hyperlink" Target="mailto:valeria.rairan@gmail.com" TargetMode="External"/><Relationship Id="rId126" Type="http://schemas.openxmlformats.org/officeDocument/2006/relationships/hyperlink" Target="mailto:monik.salas_95@hotmail.com" TargetMode="External"/><Relationship Id="rId147" Type="http://schemas.openxmlformats.org/officeDocument/2006/relationships/hyperlink" Target="mailto:marlon.egonzalezsilva@gmil.com" TargetMode="External"/><Relationship Id="rId168" Type="http://schemas.openxmlformats.org/officeDocument/2006/relationships/hyperlink" Target="mailto:maitehc@hotmail.com" TargetMode="External"/><Relationship Id="rId51" Type="http://schemas.openxmlformats.org/officeDocument/2006/relationships/hyperlink" Target="mailto:diego_fc301@hotmail.com" TargetMode="External"/><Relationship Id="rId72" Type="http://schemas.openxmlformats.org/officeDocument/2006/relationships/hyperlink" Target="mailto:geovanna_moreno2000@yahoo.es" TargetMode="External"/><Relationship Id="rId93" Type="http://schemas.openxmlformats.org/officeDocument/2006/relationships/hyperlink" Target="mailto:frankcuadros@hotmail.com" TargetMode="External"/><Relationship Id="rId189" Type="http://schemas.openxmlformats.org/officeDocument/2006/relationships/hyperlink" Target="mailto:luismanuelcaicedo2023@hotmail.com" TargetMode="External"/><Relationship Id="rId3" Type="http://schemas.openxmlformats.org/officeDocument/2006/relationships/hyperlink" Target="https://community.secop.gov.co/Public/Tendering/OpportunityDetail/Index?noticeUID=CO1.NTC.3809120&amp;isFromPublicArea=True&amp;isModal=False" TargetMode="External"/><Relationship Id="rId214" Type="http://schemas.openxmlformats.org/officeDocument/2006/relationships/hyperlink" Target="mailto:davidarboleda07@gmail.com" TargetMode="External"/><Relationship Id="rId235" Type="http://schemas.openxmlformats.org/officeDocument/2006/relationships/hyperlink" Target="mailto:taticatarazona88@gmail.com" TargetMode="External"/><Relationship Id="rId256" Type="http://schemas.openxmlformats.org/officeDocument/2006/relationships/hyperlink" Target="mailto:jasarehm99@hotmail.com" TargetMode="External"/><Relationship Id="rId277" Type="http://schemas.openxmlformats.org/officeDocument/2006/relationships/hyperlink" Target="mailto:jeesica_martinez24@hotmail.com" TargetMode="External"/><Relationship Id="rId298" Type="http://schemas.openxmlformats.org/officeDocument/2006/relationships/hyperlink" Target="https://community.secop.gov.co/Public/Tendering/OpportunityDetail/Index?noticeUID=CO1.NTC.4679914&amp;isFromPublicArea=True&amp;isModal=False" TargetMode="External"/><Relationship Id="rId116" Type="http://schemas.openxmlformats.org/officeDocument/2006/relationships/hyperlink" Target="mailto:kamilasimito@gmail.com" TargetMode="External"/><Relationship Id="rId137" Type="http://schemas.openxmlformats.org/officeDocument/2006/relationships/hyperlink" Target="mailto:pedropablo20091@gmail.com" TargetMode="External"/><Relationship Id="rId158" Type="http://schemas.openxmlformats.org/officeDocument/2006/relationships/hyperlink" Target="mailto:drdiegoballesteros@hotmail.com" TargetMode="External"/><Relationship Id="rId302" Type="http://schemas.openxmlformats.org/officeDocument/2006/relationships/hyperlink" Target="https://community.secop.gov.co/Public/Tendering/OpportunityDetail/Index?noticeUID=CO1.NTC.4947494&amp;isFromPublicArea=True&amp;isModal=False" TargetMode="External"/><Relationship Id="rId20" Type="http://schemas.openxmlformats.org/officeDocument/2006/relationships/hyperlink" Target="https://community.secop.gov.co/Public/Tendering/OpportunityDetail/Index?noticeUID=CO1.NTC.3856566&amp;isFromPublicArea=True&amp;isModal=False" TargetMode="External"/><Relationship Id="rId41" Type="http://schemas.openxmlformats.org/officeDocument/2006/relationships/hyperlink" Target="https://community.secop.gov.co/Public/Tendering/OpportunityDetail/Index?noticeUID=CO1.NTC.3887685&amp;isFromPublicArea=True&amp;isModal=False" TargetMode="External"/><Relationship Id="rId62" Type="http://schemas.openxmlformats.org/officeDocument/2006/relationships/hyperlink" Target="mailto:silviabotero27@gmail.com" TargetMode="External"/><Relationship Id="rId83" Type="http://schemas.openxmlformats.org/officeDocument/2006/relationships/hyperlink" Target="mailto:sebastianruizfierro01@gmail.com" TargetMode="External"/><Relationship Id="rId179" Type="http://schemas.openxmlformats.org/officeDocument/2006/relationships/hyperlink" Target="mailto:monicaarevalobonilla@gmail.com" TargetMode="External"/><Relationship Id="rId190" Type="http://schemas.openxmlformats.org/officeDocument/2006/relationships/hyperlink" Target="mailto:jhonmayhem@hotmail.com" TargetMode="External"/><Relationship Id="rId204" Type="http://schemas.openxmlformats.org/officeDocument/2006/relationships/hyperlink" Target="mailto:mvegaram66@gmail.com" TargetMode="External"/><Relationship Id="rId225" Type="http://schemas.openxmlformats.org/officeDocument/2006/relationships/hyperlink" Target="mailto:maricac.barragan.c@gmail.com" TargetMode="External"/><Relationship Id="rId246" Type="http://schemas.openxmlformats.org/officeDocument/2006/relationships/hyperlink" Target="mailto:camilin08@gmail.com" TargetMode="External"/><Relationship Id="rId267" Type="http://schemas.openxmlformats.org/officeDocument/2006/relationships/hyperlink" Target="mailto:jhongomez4325@gmail.com" TargetMode="External"/><Relationship Id="rId288" Type="http://schemas.openxmlformats.org/officeDocument/2006/relationships/hyperlink" Target="mailto:angelamariadazniampira@gmail.com" TargetMode="External"/><Relationship Id="rId106" Type="http://schemas.openxmlformats.org/officeDocument/2006/relationships/hyperlink" Target="mailto:w.nicolas.berigues@gmail.com" TargetMode="External"/><Relationship Id="rId127" Type="http://schemas.openxmlformats.org/officeDocument/2006/relationships/hyperlink" Target="mailto:manuelert@hotmail.com" TargetMode="External"/><Relationship Id="rId10" Type="http://schemas.openxmlformats.org/officeDocument/2006/relationships/hyperlink" Target="https://community.secop.gov.co/Public/Tendering/OpportunityDetail/Index?noticeUID=CO1.NTC.3826176&amp;isFromPublicArea=True&amp;isModal=False" TargetMode="External"/><Relationship Id="rId31" Type="http://schemas.openxmlformats.org/officeDocument/2006/relationships/hyperlink" Target="https://community.secop.gov.co/Public/Tendering/OpportunityDetail/Index?noticeUID=CO1.NTC.3867530&amp;isFromPublicArea=True&amp;isModal=False" TargetMode="External"/><Relationship Id="rId52" Type="http://schemas.openxmlformats.org/officeDocument/2006/relationships/hyperlink" Target="mailto:Alejandra.gonzalez.mahecha@hotmail.com" TargetMode="External"/><Relationship Id="rId73" Type="http://schemas.openxmlformats.org/officeDocument/2006/relationships/hyperlink" Target="mailto:mauricio.ricaurte@hotmail.com" TargetMode="External"/><Relationship Id="rId94" Type="http://schemas.openxmlformats.org/officeDocument/2006/relationships/hyperlink" Target="mailto:julballesteroscas@gmail.com" TargetMode="External"/><Relationship Id="rId148" Type="http://schemas.openxmlformats.org/officeDocument/2006/relationships/hyperlink" Target="mailto:nataliaangel676@gmail.com" TargetMode="External"/><Relationship Id="rId169" Type="http://schemas.openxmlformats.org/officeDocument/2006/relationships/hyperlink" Target="mailto:diazm986@gmail.com" TargetMode="External"/><Relationship Id="rId4" Type="http://schemas.openxmlformats.org/officeDocument/2006/relationships/hyperlink" Target="https://community.secop.gov.co/Public/Tendering/OpportunityDetail/Index?noticeUID=CO1.NTC.3809431&amp;isFromPublicArea=True&amp;isModal=False" TargetMode="External"/><Relationship Id="rId180" Type="http://schemas.openxmlformats.org/officeDocument/2006/relationships/hyperlink" Target="mailto:monquis80@yahoo.com" TargetMode="External"/><Relationship Id="rId215" Type="http://schemas.openxmlformats.org/officeDocument/2006/relationships/hyperlink" Target="mailto:sbrayamstiven2023@gmail.com" TargetMode="External"/><Relationship Id="rId236" Type="http://schemas.openxmlformats.org/officeDocument/2006/relationships/hyperlink" Target="mailto:clamagarzon@hotmail.com" TargetMode="External"/><Relationship Id="rId257" Type="http://schemas.openxmlformats.org/officeDocument/2006/relationships/hyperlink" Target="mailto:damaya0427@yahoo.com" TargetMode="External"/><Relationship Id="rId278" Type="http://schemas.openxmlformats.org/officeDocument/2006/relationships/hyperlink" Target="mailto:manoloramos30@hotmail.com" TargetMode="External"/><Relationship Id="rId303" Type="http://schemas.openxmlformats.org/officeDocument/2006/relationships/hyperlink" Target="https://community.secop.gov.co/Public/Tendering/OpportunityDetail/Index?noticeUID=CO1.NTC.5017565&amp;isFromPublicArea=True&amp;isModal=False" TargetMode="External"/><Relationship Id="rId42" Type="http://schemas.openxmlformats.org/officeDocument/2006/relationships/hyperlink" Target="https://community.secop.gov.co/Public/Tendering/OpportunityDetail/Index?noticeUID=CO1.NTC.3893766&amp;isFromPublicArea=True&amp;isModal=False" TargetMode="External"/><Relationship Id="rId84" Type="http://schemas.openxmlformats.org/officeDocument/2006/relationships/hyperlink" Target="mailto:ygld_1@hotmail.com" TargetMode="External"/><Relationship Id="rId138" Type="http://schemas.openxmlformats.org/officeDocument/2006/relationships/hyperlink" Target="mailto:rodriguezdorisadriana@gmail.com" TargetMode="External"/><Relationship Id="rId191" Type="http://schemas.openxmlformats.org/officeDocument/2006/relationships/hyperlink" Target="mailto:guillebel20@yahoo.com" TargetMode="External"/><Relationship Id="rId205" Type="http://schemas.openxmlformats.org/officeDocument/2006/relationships/hyperlink" Target="mailto:paolanverano@gmail.com" TargetMode="External"/><Relationship Id="rId247" Type="http://schemas.openxmlformats.org/officeDocument/2006/relationships/hyperlink" Target="mailto:wilmori65@gmail.com" TargetMode="External"/><Relationship Id="rId107" Type="http://schemas.openxmlformats.org/officeDocument/2006/relationships/hyperlink" Target="mailto:yeimyzcruz@hotmail.com" TargetMode="External"/><Relationship Id="rId289" Type="http://schemas.openxmlformats.org/officeDocument/2006/relationships/hyperlink" Target="mailto:rojasrene7@hotmail.com" TargetMode="External"/><Relationship Id="rId11" Type="http://schemas.openxmlformats.org/officeDocument/2006/relationships/hyperlink" Target="https://community.secop.gov.co/Public/Tendering/OpportunityDetail/Index?noticeUID=CO1.NTC.3826059&amp;isFromPublicArea=True&amp;isModal=False" TargetMode="External"/><Relationship Id="rId53" Type="http://schemas.openxmlformats.org/officeDocument/2006/relationships/hyperlink" Target="mailto:jaavilezc@gmail.com" TargetMode="External"/><Relationship Id="rId149" Type="http://schemas.openxmlformats.org/officeDocument/2006/relationships/hyperlink" Target="mailto:paomoy12@gmail.com" TargetMode="External"/><Relationship Id="rId95" Type="http://schemas.openxmlformats.org/officeDocument/2006/relationships/hyperlink" Target="mailto:nidiadelavictoria@hotmail.com" TargetMode="External"/><Relationship Id="rId160" Type="http://schemas.openxmlformats.org/officeDocument/2006/relationships/hyperlink" Target="mailto:marco.cumbe@gmail.com" TargetMode="External"/><Relationship Id="rId216" Type="http://schemas.openxmlformats.org/officeDocument/2006/relationships/hyperlink" Target="mailto:juniojoaquinbeltranmoreno@gmail.com" TargetMode="External"/><Relationship Id="rId258" Type="http://schemas.openxmlformats.org/officeDocument/2006/relationships/hyperlink" Target="mailto:victorgalindo86@hotmail.com" TargetMode="External"/><Relationship Id="rId22" Type="http://schemas.openxmlformats.org/officeDocument/2006/relationships/hyperlink" Target="https://community.secop.gov.co/Public/Tendering/OpportunityDetail/Index?noticeUID=CO1.NTC.3859386&amp;isFromPublicArea=True&amp;isModal=False" TargetMode="External"/><Relationship Id="rId64" Type="http://schemas.openxmlformats.org/officeDocument/2006/relationships/hyperlink" Target="https://community.secop.gov.co/Public/Tendering/OpportunityDetail/Index?noticeUID=CO1.NTC.3921966&amp;isFromPublicArea=True&amp;isModal=False" TargetMode="External"/><Relationship Id="rId118" Type="http://schemas.openxmlformats.org/officeDocument/2006/relationships/hyperlink" Target="mailto:edith.quecano@hotmail.com" TargetMode="External"/><Relationship Id="rId171" Type="http://schemas.openxmlformats.org/officeDocument/2006/relationships/hyperlink" Target="mailto:cadr158789@hotmail.com" TargetMode="External"/><Relationship Id="rId227" Type="http://schemas.openxmlformats.org/officeDocument/2006/relationships/hyperlink" Target="mailto:orjuelaluis28@gmail.com" TargetMode="External"/><Relationship Id="rId269" Type="http://schemas.openxmlformats.org/officeDocument/2006/relationships/hyperlink" Target="mailto:jheisonleon07@homail.com" TargetMode="External"/><Relationship Id="rId33" Type="http://schemas.openxmlformats.org/officeDocument/2006/relationships/hyperlink" Target="https://community.secop.gov.co/Public/Tendering/OpportunityDetail/Index?noticeUID=CO1.NTC.3844742&amp;isFromPublicArea=True&amp;isModal=False" TargetMode="External"/><Relationship Id="rId129" Type="http://schemas.openxmlformats.org/officeDocument/2006/relationships/hyperlink" Target="mailto:Klaudiarodriguezz@yahoo.com" TargetMode="External"/><Relationship Id="rId280" Type="http://schemas.openxmlformats.org/officeDocument/2006/relationships/hyperlink" Target="mailto:cesar1071@yahoo.com" TargetMode="External"/><Relationship Id="rId75" Type="http://schemas.openxmlformats.org/officeDocument/2006/relationships/hyperlink" Target="mailto:julio93dformes@gmail.com" TargetMode="External"/><Relationship Id="rId140" Type="http://schemas.openxmlformats.org/officeDocument/2006/relationships/hyperlink" Target="mailto:paulamc.94@gmail.com" TargetMode="External"/><Relationship Id="rId182" Type="http://schemas.openxmlformats.org/officeDocument/2006/relationships/hyperlink" Target="mailto:deyca_13@hotmail.com" TargetMode="External"/><Relationship Id="rId6" Type="http://schemas.openxmlformats.org/officeDocument/2006/relationships/hyperlink" Target="https://community.secop.gov.co/Public/Tendering/OpportunityDetail/Index?noticeUID=CO1.NTC.3818384&amp;isFromPublicArea=True&amp;isModal=False" TargetMode="External"/><Relationship Id="rId238" Type="http://schemas.openxmlformats.org/officeDocument/2006/relationships/hyperlink" Target="mailto:andresfelipemontealegre98@gmail.com" TargetMode="External"/><Relationship Id="rId291" Type="http://schemas.openxmlformats.org/officeDocument/2006/relationships/hyperlink" Target="mailto:alejandroalarcon1497@gmail.com" TargetMode="External"/><Relationship Id="rId305" Type="http://schemas.openxmlformats.org/officeDocument/2006/relationships/hyperlink" Target="https://community.secop.gov.co/Public/Tendering/OpportunityDetail/Index?noticeUID=CO1.NTC.4948899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BA0BB-6953-488A-BF04-B6B70C9FE925}">
  <sheetPr codeName="Hoja2"/>
  <dimension ref="B1:AY398"/>
  <sheetViews>
    <sheetView tabSelected="1" zoomScale="87" zoomScaleNormal="87" workbookViewId="0">
      <pane ySplit="1" topLeftCell="A2" activePane="bottomLeft" state="frozen"/>
      <selection pane="bottomLeft" activeCell="J416" sqref="J416"/>
    </sheetView>
  </sheetViews>
  <sheetFormatPr baseColWidth="10" defaultColWidth="11.42578125" defaultRowHeight="14.25" x14ac:dyDescent="0.25"/>
  <cols>
    <col min="1" max="1" width="4.42578125" style="19" customWidth="1"/>
    <col min="2" max="2" width="9.85546875" style="19" customWidth="1"/>
    <col min="3" max="3" width="10.42578125" style="19" customWidth="1"/>
    <col min="4" max="4" width="22.28515625" style="19" customWidth="1"/>
    <col min="5" max="5" width="33.140625" style="19" customWidth="1"/>
    <col min="6" max="6" width="31.5703125" style="19" customWidth="1"/>
    <col min="7" max="7" width="27" style="19" customWidth="1"/>
    <col min="8" max="8" width="27.85546875" style="19" customWidth="1"/>
    <col min="9" max="9" width="32" style="19" customWidth="1"/>
    <col min="10" max="10" width="40.85546875" style="19" customWidth="1"/>
    <col min="11" max="11" width="47.7109375" style="19" customWidth="1"/>
    <col min="12" max="12" width="18.28515625" style="19" customWidth="1"/>
    <col min="13" max="14" width="15.85546875" style="34" customWidth="1"/>
    <col min="15" max="15" width="14.140625" style="34" customWidth="1"/>
    <col min="16" max="16" width="16.85546875" style="34" customWidth="1"/>
    <col min="17" max="17" width="23.85546875" style="21" customWidth="1"/>
    <col min="18" max="18" width="20" style="21" customWidth="1"/>
    <col min="19" max="19" width="16.28515625" style="21" customWidth="1"/>
    <col min="20" max="21" width="16.5703125" style="21" customWidth="1"/>
    <col min="22" max="22" width="13.7109375" style="21" customWidth="1"/>
    <col min="23" max="23" width="11.7109375" style="21" customWidth="1"/>
    <col min="24" max="24" width="14.28515625" style="21" customWidth="1"/>
    <col min="25" max="25" width="17.42578125" style="21" customWidth="1"/>
    <col min="26" max="26" width="19.7109375" style="21" customWidth="1"/>
    <col min="27" max="27" width="14.28515625" style="21" customWidth="1"/>
    <col min="28" max="28" width="43.7109375" style="21" customWidth="1"/>
    <col min="29" max="29" width="17.5703125" style="21" customWidth="1"/>
    <col min="30" max="30" width="22.28515625" style="21" customWidth="1"/>
    <col min="31" max="31" width="14.28515625" style="21" customWidth="1"/>
    <col min="32" max="32" width="14.85546875" style="19" customWidth="1"/>
    <col min="33" max="33" width="16" style="19" customWidth="1"/>
    <col min="34" max="34" width="17.28515625" style="19" customWidth="1"/>
    <col min="35" max="35" width="22" style="19" customWidth="1"/>
    <col min="36" max="36" width="17.28515625" style="19" customWidth="1"/>
    <col min="37" max="37" width="14.5703125" style="22" customWidth="1"/>
    <col min="38" max="38" width="16.28515625" style="23" customWidth="1"/>
    <col min="39" max="39" width="22.42578125" style="19" customWidth="1"/>
    <col min="40" max="40" width="17.5703125" style="20" customWidth="1"/>
    <col min="41" max="41" width="24" style="20" customWidth="1"/>
    <col min="42" max="42" width="40.5703125" style="19" customWidth="1"/>
    <col min="43" max="43" width="18" style="24" customWidth="1"/>
    <col min="44" max="44" width="13.5703125" style="24" customWidth="1"/>
    <col min="45" max="45" width="15" style="19" customWidth="1"/>
    <col min="46" max="46" width="11.7109375" style="19" customWidth="1"/>
    <col min="47" max="47" width="13.42578125" style="19" customWidth="1"/>
    <col min="48" max="48" width="19.140625" style="19" customWidth="1"/>
    <col min="49" max="49" width="28" style="19" customWidth="1"/>
    <col min="50" max="50" width="35.85546875" style="23" customWidth="1"/>
    <col min="51" max="51" width="20.28515625" style="23" customWidth="1"/>
    <col min="52" max="16384" width="11.42578125" style="19"/>
  </cols>
  <sheetData>
    <row r="1" spans="2:51" ht="89.25" customHeight="1" x14ac:dyDescent="0.25">
      <c r="B1" s="1" t="s">
        <v>0</v>
      </c>
      <c r="C1" s="1" t="s">
        <v>58</v>
      </c>
      <c r="D1" s="2" t="s">
        <v>1</v>
      </c>
      <c r="E1" s="2" t="s">
        <v>59</v>
      </c>
      <c r="F1" s="2" t="s">
        <v>60</v>
      </c>
      <c r="G1" s="2" t="s">
        <v>61</v>
      </c>
      <c r="H1" s="3" t="s">
        <v>2864</v>
      </c>
      <c r="I1" s="3" t="s">
        <v>62</v>
      </c>
      <c r="J1" s="2" t="s">
        <v>63</v>
      </c>
      <c r="K1" s="4" t="s">
        <v>2</v>
      </c>
      <c r="L1" s="4" t="s">
        <v>3</v>
      </c>
      <c r="M1" s="35" t="s">
        <v>64</v>
      </c>
      <c r="N1" s="35" t="s">
        <v>65</v>
      </c>
      <c r="O1" s="35" t="s">
        <v>66</v>
      </c>
      <c r="P1" s="29" t="s">
        <v>67</v>
      </c>
      <c r="Q1" s="6" t="s">
        <v>68</v>
      </c>
      <c r="R1" s="6" t="s">
        <v>69</v>
      </c>
      <c r="S1" s="29" t="s">
        <v>70</v>
      </c>
      <c r="T1" s="5" t="s">
        <v>71</v>
      </c>
      <c r="U1" s="30" t="s">
        <v>72</v>
      </c>
      <c r="V1" s="31" t="s">
        <v>73</v>
      </c>
      <c r="W1" s="32" t="s">
        <v>74</v>
      </c>
      <c r="X1" s="32" t="s">
        <v>75</v>
      </c>
      <c r="Y1" s="5" t="s">
        <v>76</v>
      </c>
      <c r="Z1" s="7" t="s">
        <v>77</v>
      </c>
      <c r="AA1" s="8" t="s">
        <v>78</v>
      </c>
      <c r="AB1" s="8" t="s">
        <v>79</v>
      </c>
      <c r="AC1" s="8" t="s">
        <v>80</v>
      </c>
      <c r="AD1" s="6" t="s">
        <v>68</v>
      </c>
      <c r="AE1" s="6" t="s">
        <v>81</v>
      </c>
      <c r="AF1" s="9" t="s">
        <v>82</v>
      </c>
      <c r="AG1" s="10" t="s">
        <v>83</v>
      </c>
      <c r="AH1" s="10" t="s">
        <v>84</v>
      </c>
      <c r="AI1" s="6" t="s">
        <v>68</v>
      </c>
      <c r="AJ1" s="6" t="s">
        <v>81</v>
      </c>
      <c r="AK1" s="11" t="s">
        <v>85</v>
      </c>
      <c r="AL1" s="11" t="s">
        <v>86</v>
      </c>
      <c r="AM1" s="6" t="s">
        <v>68</v>
      </c>
      <c r="AN1" s="6" t="s">
        <v>81</v>
      </c>
      <c r="AO1" s="12" t="s">
        <v>87</v>
      </c>
      <c r="AP1" s="12" t="s">
        <v>88</v>
      </c>
      <c r="AQ1" s="6" t="s">
        <v>68</v>
      </c>
      <c r="AR1" s="6" t="s">
        <v>81</v>
      </c>
      <c r="AS1" s="13" t="s">
        <v>89</v>
      </c>
      <c r="AT1" s="6" t="s">
        <v>68</v>
      </c>
      <c r="AU1" s="14" t="s">
        <v>90</v>
      </c>
      <c r="AV1" s="15" t="s">
        <v>91</v>
      </c>
      <c r="AW1" s="16" t="s">
        <v>92</v>
      </c>
      <c r="AX1" s="17" t="s">
        <v>93</v>
      </c>
      <c r="AY1" s="18" t="s">
        <v>94</v>
      </c>
    </row>
    <row r="2" spans="2:51" s="37" customFormat="1" ht="34.5" customHeight="1" x14ac:dyDescent="0.25">
      <c r="B2" s="38">
        <v>1</v>
      </c>
      <c r="C2" s="39">
        <v>2023</v>
      </c>
      <c r="D2" s="40" t="s">
        <v>95</v>
      </c>
      <c r="E2" s="41" t="s">
        <v>96</v>
      </c>
      <c r="F2" s="40" t="s">
        <v>97</v>
      </c>
      <c r="G2" s="40" t="s">
        <v>98</v>
      </c>
      <c r="H2" s="41" t="s">
        <v>99</v>
      </c>
      <c r="I2" s="25" t="s">
        <v>100</v>
      </c>
      <c r="J2" s="42" t="s">
        <v>101</v>
      </c>
      <c r="K2" s="42" t="s">
        <v>102</v>
      </c>
      <c r="L2" s="26">
        <v>53006011</v>
      </c>
      <c r="M2" s="43" t="s">
        <v>103</v>
      </c>
      <c r="N2" s="44" t="s">
        <v>104</v>
      </c>
      <c r="O2" s="45">
        <f>57500000+17166667</f>
        <v>74666667</v>
      </c>
      <c r="P2" s="44">
        <v>44944</v>
      </c>
      <c r="Q2" s="43" t="s">
        <v>105</v>
      </c>
      <c r="R2" s="46">
        <v>44946</v>
      </c>
      <c r="S2" s="45" t="s">
        <v>106</v>
      </c>
      <c r="T2" s="46">
        <v>44946</v>
      </c>
      <c r="U2" s="45">
        <v>40000000</v>
      </c>
      <c r="V2" s="43" t="s">
        <v>107</v>
      </c>
      <c r="W2" s="44" t="s">
        <v>108</v>
      </c>
      <c r="X2" s="47">
        <f>40000000+17166667</f>
        <v>57166667</v>
      </c>
      <c r="Y2" s="46">
        <v>45188</v>
      </c>
      <c r="Z2" s="48" t="s">
        <v>109</v>
      </c>
      <c r="AA2" s="48"/>
      <c r="AB2" s="48"/>
      <c r="AC2" s="26"/>
      <c r="AD2" s="48"/>
      <c r="AE2" s="48"/>
      <c r="AF2" s="49">
        <v>45187</v>
      </c>
      <c r="AG2" s="45">
        <v>17166667</v>
      </c>
      <c r="AH2" s="50">
        <f>U2+AG2</f>
        <v>57166667</v>
      </c>
      <c r="AI2" s="48" t="s">
        <v>105</v>
      </c>
      <c r="AJ2" s="49">
        <v>45190</v>
      </c>
      <c r="AK2" s="49">
        <v>45187</v>
      </c>
      <c r="AL2" s="42" t="s">
        <v>110</v>
      </c>
      <c r="AM2" s="48" t="s">
        <v>105</v>
      </c>
      <c r="AN2" s="49">
        <v>45190</v>
      </c>
      <c r="AO2" s="38"/>
      <c r="AP2" s="38"/>
      <c r="AQ2" s="38"/>
      <c r="AR2" s="38"/>
      <c r="AS2" s="38"/>
      <c r="AT2" s="51"/>
      <c r="AU2" s="52"/>
      <c r="AV2" s="53">
        <v>45291</v>
      </c>
      <c r="AW2" s="41" t="s">
        <v>56</v>
      </c>
      <c r="AX2" s="40" t="s">
        <v>111</v>
      </c>
      <c r="AY2" s="54">
        <v>20235920001133</v>
      </c>
    </row>
    <row r="3" spans="2:51" s="37" customFormat="1" ht="17.25" customHeight="1" x14ac:dyDescent="0.25">
      <c r="B3" s="38">
        <v>2</v>
      </c>
      <c r="C3" s="39">
        <v>2023</v>
      </c>
      <c r="D3" s="40" t="s">
        <v>112</v>
      </c>
      <c r="E3" s="41" t="s">
        <v>113</v>
      </c>
      <c r="F3" s="40" t="s">
        <v>97</v>
      </c>
      <c r="G3" s="40" t="s">
        <v>98</v>
      </c>
      <c r="H3" s="41" t="s">
        <v>114</v>
      </c>
      <c r="I3" s="25" t="s">
        <v>115</v>
      </c>
      <c r="J3" s="42" t="s">
        <v>116</v>
      </c>
      <c r="K3" s="42" t="s">
        <v>117</v>
      </c>
      <c r="L3" s="26">
        <v>1032402280</v>
      </c>
      <c r="M3" s="43">
        <v>907</v>
      </c>
      <c r="N3" s="44">
        <v>44944</v>
      </c>
      <c r="O3" s="45">
        <v>112500000</v>
      </c>
      <c r="P3" s="44">
        <v>44949</v>
      </c>
      <c r="Q3" s="43" t="s">
        <v>118</v>
      </c>
      <c r="R3" s="46">
        <v>44951</v>
      </c>
      <c r="S3" s="45" t="s">
        <v>119</v>
      </c>
      <c r="T3" s="46">
        <v>44950</v>
      </c>
      <c r="U3" s="45">
        <v>12500000</v>
      </c>
      <c r="V3" s="43">
        <v>858</v>
      </c>
      <c r="W3" s="44">
        <v>44951</v>
      </c>
      <c r="X3" s="47">
        <v>12500000</v>
      </c>
      <c r="Y3" s="46">
        <v>45100</v>
      </c>
      <c r="Z3" s="48" t="s">
        <v>120</v>
      </c>
      <c r="AA3" s="48" t="s">
        <v>121</v>
      </c>
      <c r="AB3" s="49" t="s">
        <v>121</v>
      </c>
      <c r="AC3" s="26" t="s">
        <v>121</v>
      </c>
      <c r="AD3" s="49" t="s">
        <v>121</v>
      </c>
      <c r="AE3" s="49" t="s">
        <v>121</v>
      </c>
      <c r="AF3" s="48" t="s">
        <v>121</v>
      </c>
      <c r="AG3" s="45" t="s">
        <v>121</v>
      </c>
      <c r="AH3" s="50" t="s">
        <v>121</v>
      </c>
      <c r="AI3" s="50" t="s">
        <v>121</v>
      </c>
      <c r="AJ3" s="50" t="s">
        <v>121</v>
      </c>
      <c r="AK3" s="50" t="s">
        <v>121</v>
      </c>
      <c r="AL3" s="50" t="s">
        <v>121</v>
      </c>
      <c r="AM3" s="50" t="s">
        <v>121</v>
      </c>
      <c r="AN3" s="50" t="s">
        <v>121</v>
      </c>
      <c r="AO3" s="50" t="s">
        <v>121</v>
      </c>
      <c r="AP3" s="50" t="s">
        <v>121</v>
      </c>
      <c r="AQ3" s="50" t="s">
        <v>121</v>
      </c>
      <c r="AR3" s="50" t="s">
        <v>121</v>
      </c>
      <c r="AS3" s="50" t="s">
        <v>121</v>
      </c>
      <c r="AT3" s="50" t="s">
        <v>121</v>
      </c>
      <c r="AU3" s="50" t="s">
        <v>121</v>
      </c>
      <c r="AV3" s="38"/>
      <c r="AW3" s="41" t="s">
        <v>122</v>
      </c>
      <c r="AX3" s="40" t="s">
        <v>123</v>
      </c>
      <c r="AY3" s="54">
        <v>20235920001473</v>
      </c>
    </row>
    <row r="4" spans="2:51" s="37" customFormat="1" ht="26.25" x14ac:dyDescent="0.25">
      <c r="B4" s="38">
        <v>3</v>
      </c>
      <c r="C4" s="39">
        <v>2023</v>
      </c>
      <c r="D4" s="40" t="s">
        <v>124</v>
      </c>
      <c r="E4" s="41" t="s">
        <v>96</v>
      </c>
      <c r="F4" s="40" t="s">
        <v>97</v>
      </c>
      <c r="G4" s="40" t="s">
        <v>98</v>
      </c>
      <c r="H4" s="41" t="s">
        <v>125</v>
      </c>
      <c r="I4" s="25" t="s">
        <v>126</v>
      </c>
      <c r="J4" s="42" t="s">
        <v>127</v>
      </c>
      <c r="K4" s="42" t="s">
        <v>128</v>
      </c>
      <c r="L4" s="26">
        <v>1037608126</v>
      </c>
      <c r="M4" s="43" t="s">
        <v>129</v>
      </c>
      <c r="N4" s="44" t="s">
        <v>130</v>
      </c>
      <c r="O4" s="45">
        <f>469200000+22666667</f>
        <v>491866667</v>
      </c>
      <c r="P4" s="44">
        <v>44946</v>
      </c>
      <c r="Q4" s="43" t="s">
        <v>131</v>
      </c>
      <c r="R4" s="46">
        <v>44949</v>
      </c>
      <c r="S4" s="45" t="s">
        <v>106</v>
      </c>
      <c r="T4" s="46">
        <v>44949</v>
      </c>
      <c r="U4" s="45">
        <v>54400000</v>
      </c>
      <c r="V4" s="43" t="s">
        <v>132</v>
      </c>
      <c r="W4" s="44" t="s">
        <v>133</v>
      </c>
      <c r="X4" s="47">
        <f>54400000+22666667</f>
        <v>77066667</v>
      </c>
      <c r="Y4" s="46">
        <v>45191</v>
      </c>
      <c r="Z4" s="48" t="s">
        <v>109</v>
      </c>
      <c r="AA4" s="49">
        <v>45012</v>
      </c>
      <c r="AB4" s="48" t="s">
        <v>134</v>
      </c>
      <c r="AC4" s="26">
        <v>1026287324</v>
      </c>
      <c r="AD4" s="48" t="s">
        <v>135</v>
      </c>
      <c r="AE4" s="49">
        <v>45012</v>
      </c>
      <c r="AF4" s="49">
        <v>45183</v>
      </c>
      <c r="AG4" s="45">
        <v>22666667</v>
      </c>
      <c r="AH4" s="50">
        <f>U4+AG4</f>
        <v>77066667</v>
      </c>
      <c r="AI4" s="48" t="s">
        <v>135</v>
      </c>
      <c r="AJ4" s="49">
        <v>45184</v>
      </c>
      <c r="AK4" s="49">
        <v>45183</v>
      </c>
      <c r="AL4" s="42" t="s">
        <v>136</v>
      </c>
      <c r="AM4" s="48" t="s">
        <v>135</v>
      </c>
      <c r="AN4" s="49">
        <v>45184</v>
      </c>
      <c r="AO4" s="38"/>
      <c r="AP4" s="38"/>
      <c r="AQ4" s="38"/>
      <c r="AR4" s="38"/>
      <c r="AS4" s="38"/>
      <c r="AT4" s="51"/>
      <c r="AU4" s="52"/>
      <c r="AV4" s="53">
        <v>45291</v>
      </c>
      <c r="AW4" s="41" t="s">
        <v>137</v>
      </c>
      <c r="AX4" s="40" t="s">
        <v>111</v>
      </c>
      <c r="AY4" s="54">
        <v>20235920001133</v>
      </c>
    </row>
    <row r="5" spans="2:51" s="37" customFormat="1" ht="17.25" customHeight="1" x14ac:dyDescent="0.25">
      <c r="B5" s="38">
        <v>4</v>
      </c>
      <c r="C5" s="39">
        <v>2023</v>
      </c>
      <c r="D5" s="40" t="s">
        <v>138</v>
      </c>
      <c r="E5" s="41" t="s">
        <v>139</v>
      </c>
      <c r="F5" s="40" t="s">
        <v>97</v>
      </c>
      <c r="G5" s="40" t="s">
        <v>98</v>
      </c>
      <c r="H5" s="41" t="s">
        <v>140</v>
      </c>
      <c r="I5" s="25" t="s">
        <v>141</v>
      </c>
      <c r="J5" s="42" t="s">
        <v>116</v>
      </c>
      <c r="K5" s="42" t="s">
        <v>142</v>
      </c>
      <c r="L5" s="26">
        <v>1016018384</v>
      </c>
      <c r="M5" s="43">
        <v>898</v>
      </c>
      <c r="N5" s="44">
        <v>44944</v>
      </c>
      <c r="O5" s="45">
        <v>75000000</v>
      </c>
      <c r="P5" s="44">
        <v>44953</v>
      </c>
      <c r="Q5" s="43" t="s">
        <v>143</v>
      </c>
      <c r="R5" s="46">
        <v>44953</v>
      </c>
      <c r="S5" s="45" t="s">
        <v>144</v>
      </c>
      <c r="T5" s="46">
        <v>44956</v>
      </c>
      <c r="U5" s="45">
        <v>18750000</v>
      </c>
      <c r="V5" s="43">
        <v>880</v>
      </c>
      <c r="W5" s="44">
        <v>44953</v>
      </c>
      <c r="X5" s="47">
        <v>18750000</v>
      </c>
      <c r="Y5" s="46">
        <v>45183</v>
      </c>
      <c r="Z5" s="48" t="s">
        <v>120</v>
      </c>
      <c r="AA5" s="49" t="s">
        <v>121</v>
      </c>
      <c r="AB5" s="48" t="s">
        <v>121</v>
      </c>
      <c r="AC5" s="48" t="s">
        <v>121</v>
      </c>
      <c r="AD5" s="48" t="s">
        <v>121</v>
      </c>
      <c r="AE5" s="48" t="s">
        <v>121</v>
      </c>
      <c r="AF5" s="48" t="s">
        <v>121</v>
      </c>
      <c r="AG5" s="48" t="s">
        <v>121</v>
      </c>
      <c r="AH5" s="48" t="s">
        <v>121</v>
      </c>
      <c r="AI5" s="48" t="s">
        <v>121</v>
      </c>
      <c r="AJ5" s="48" t="s">
        <v>121</v>
      </c>
      <c r="AK5" s="48" t="s">
        <v>121</v>
      </c>
      <c r="AL5" s="48" t="s">
        <v>121</v>
      </c>
      <c r="AM5" s="48" t="s">
        <v>121</v>
      </c>
      <c r="AN5" s="48" t="s">
        <v>121</v>
      </c>
      <c r="AO5" s="38" t="s">
        <v>121</v>
      </c>
      <c r="AP5" s="38" t="s">
        <v>121</v>
      </c>
      <c r="AQ5" s="38" t="s">
        <v>121</v>
      </c>
      <c r="AR5" s="38" t="s">
        <v>121</v>
      </c>
      <c r="AS5" s="38" t="s">
        <v>121</v>
      </c>
      <c r="AT5" s="38" t="s">
        <v>121</v>
      </c>
      <c r="AU5" s="38" t="s">
        <v>121</v>
      </c>
      <c r="AV5" s="38" t="s">
        <v>121</v>
      </c>
      <c r="AW5" s="41" t="s">
        <v>122</v>
      </c>
      <c r="AX5" s="40" t="s">
        <v>145</v>
      </c>
      <c r="AY5" s="54">
        <v>20235920001923</v>
      </c>
    </row>
    <row r="6" spans="2:51" s="37" customFormat="1" ht="15" x14ac:dyDescent="0.25">
      <c r="B6" s="38">
        <v>5</v>
      </c>
      <c r="C6" s="39">
        <v>2023</v>
      </c>
      <c r="D6" s="40" t="s">
        <v>146</v>
      </c>
      <c r="E6" s="41" t="s">
        <v>113</v>
      </c>
      <c r="F6" s="40" t="s">
        <v>97</v>
      </c>
      <c r="G6" s="40" t="s">
        <v>98</v>
      </c>
      <c r="H6" s="41" t="s">
        <v>147</v>
      </c>
      <c r="I6" s="25" t="s">
        <v>148</v>
      </c>
      <c r="J6" s="42" t="s">
        <v>149</v>
      </c>
      <c r="K6" s="42" t="s">
        <v>150</v>
      </c>
      <c r="L6" s="26">
        <v>1016052722</v>
      </c>
      <c r="M6" s="43">
        <v>907</v>
      </c>
      <c r="N6" s="44">
        <v>44944</v>
      </c>
      <c r="O6" s="45">
        <v>112500000</v>
      </c>
      <c r="P6" s="44">
        <v>44949</v>
      </c>
      <c r="Q6" s="43" t="s">
        <v>151</v>
      </c>
      <c r="R6" s="46">
        <v>44950</v>
      </c>
      <c r="S6" s="45" t="s">
        <v>119</v>
      </c>
      <c r="T6" s="46">
        <v>44958</v>
      </c>
      <c r="U6" s="45">
        <v>12500000</v>
      </c>
      <c r="V6" s="43">
        <v>860</v>
      </c>
      <c r="W6" s="44">
        <v>44950</v>
      </c>
      <c r="X6" s="47">
        <v>12500000</v>
      </c>
      <c r="Y6" s="46">
        <v>45107</v>
      </c>
      <c r="Z6" s="48" t="s">
        <v>109</v>
      </c>
      <c r="AA6" s="49" t="s">
        <v>121</v>
      </c>
      <c r="AB6" s="49" t="s">
        <v>121</v>
      </c>
      <c r="AC6" s="26" t="s">
        <v>121</v>
      </c>
      <c r="AD6" s="49" t="s">
        <v>121</v>
      </c>
      <c r="AE6" s="49" t="s">
        <v>121</v>
      </c>
      <c r="AF6" s="48"/>
      <c r="AG6" s="45"/>
      <c r="AH6" s="50">
        <f>U6+AG6</f>
        <v>12500000</v>
      </c>
      <c r="AI6" s="50" t="s">
        <v>121</v>
      </c>
      <c r="AJ6" s="50" t="s">
        <v>121</v>
      </c>
      <c r="AK6" s="50" t="s">
        <v>121</v>
      </c>
      <c r="AL6" s="50" t="s">
        <v>121</v>
      </c>
      <c r="AM6" s="50" t="s">
        <v>121</v>
      </c>
      <c r="AN6" s="50" t="s">
        <v>121</v>
      </c>
      <c r="AO6" s="50" t="s">
        <v>121</v>
      </c>
      <c r="AP6" s="50" t="s">
        <v>121</v>
      </c>
      <c r="AQ6" s="50" t="s">
        <v>121</v>
      </c>
      <c r="AR6" s="50" t="s">
        <v>121</v>
      </c>
      <c r="AS6" s="50" t="s">
        <v>121</v>
      </c>
      <c r="AT6" s="50" t="s">
        <v>121</v>
      </c>
      <c r="AU6" s="50" t="s">
        <v>121</v>
      </c>
      <c r="AV6" s="53">
        <v>45103</v>
      </c>
      <c r="AW6" s="40" t="s">
        <v>152</v>
      </c>
      <c r="AX6" s="40" t="s">
        <v>123</v>
      </c>
      <c r="AY6" s="54">
        <v>20235920001473</v>
      </c>
    </row>
    <row r="7" spans="2:51" s="37" customFormat="1" ht="26.25" x14ac:dyDescent="0.25">
      <c r="B7" s="38">
        <v>6</v>
      </c>
      <c r="C7" s="39">
        <v>2023</v>
      </c>
      <c r="D7" s="40" t="s">
        <v>154</v>
      </c>
      <c r="E7" s="41" t="s">
        <v>155</v>
      </c>
      <c r="F7" s="40" t="s">
        <v>97</v>
      </c>
      <c r="G7" s="40" t="s">
        <v>98</v>
      </c>
      <c r="H7" s="41" t="s">
        <v>156</v>
      </c>
      <c r="I7" s="25" t="s">
        <v>157</v>
      </c>
      <c r="J7" s="42" t="s">
        <v>116</v>
      </c>
      <c r="K7" s="42" t="s">
        <v>158</v>
      </c>
      <c r="L7" s="26">
        <v>73161809</v>
      </c>
      <c r="M7" s="43" t="s">
        <v>159</v>
      </c>
      <c r="N7" s="44" t="s">
        <v>160</v>
      </c>
      <c r="O7" s="45">
        <f>90000000+22400000</f>
        <v>112400000</v>
      </c>
      <c r="P7" s="44">
        <v>44949</v>
      </c>
      <c r="Q7" s="43" t="s">
        <v>161</v>
      </c>
      <c r="R7" s="46">
        <v>44951</v>
      </c>
      <c r="S7" s="45" t="s">
        <v>162</v>
      </c>
      <c r="T7" s="46">
        <v>44951</v>
      </c>
      <c r="U7" s="45">
        <v>45000000</v>
      </c>
      <c r="V7" s="43" t="s">
        <v>163</v>
      </c>
      <c r="W7" s="44" t="s">
        <v>164</v>
      </c>
      <c r="X7" s="47">
        <f>45000000+22400000</f>
        <v>67400000</v>
      </c>
      <c r="Y7" s="46">
        <v>45178</v>
      </c>
      <c r="Z7" s="48" t="s">
        <v>109</v>
      </c>
      <c r="AA7" s="49"/>
      <c r="AB7" s="48"/>
      <c r="AC7" s="26"/>
      <c r="AD7" s="48"/>
      <c r="AE7" s="49"/>
      <c r="AF7" s="49">
        <v>45177</v>
      </c>
      <c r="AG7" s="45">
        <v>22400000</v>
      </c>
      <c r="AH7" s="50">
        <f>U7+AG7</f>
        <v>67400000</v>
      </c>
      <c r="AI7" s="48" t="s">
        <v>161</v>
      </c>
      <c r="AJ7" s="49">
        <v>45187</v>
      </c>
      <c r="AK7" s="49">
        <v>45177</v>
      </c>
      <c r="AL7" s="42" t="s">
        <v>165</v>
      </c>
      <c r="AM7" s="48" t="s">
        <v>161</v>
      </c>
      <c r="AN7" s="49">
        <v>45187</v>
      </c>
      <c r="AO7" s="38"/>
      <c r="AP7" s="38"/>
      <c r="AQ7" s="38"/>
      <c r="AR7" s="38"/>
      <c r="AS7" s="38"/>
      <c r="AT7" s="51"/>
      <c r="AU7" s="52"/>
      <c r="AV7" s="53">
        <v>45290</v>
      </c>
      <c r="AW7" s="41" t="s">
        <v>56</v>
      </c>
      <c r="AX7" s="40" t="s">
        <v>123</v>
      </c>
      <c r="AY7" s="54">
        <v>20235920001223</v>
      </c>
    </row>
    <row r="8" spans="2:51" s="37" customFormat="1" ht="17.25" customHeight="1" x14ac:dyDescent="0.25">
      <c r="B8" s="38">
        <v>7</v>
      </c>
      <c r="C8" s="39">
        <v>2023</v>
      </c>
      <c r="D8" s="40" t="s">
        <v>166</v>
      </c>
      <c r="E8" s="41" t="s">
        <v>113</v>
      </c>
      <c r="F8" s="40" t="s">
        <v>97</v>
      </c>
      <c r="G8" s="40" t="s">
        <v>98</v>
      </c>
      <c r="H8" s="41" t="s">
        <v>167</v>
      </c>
      <c r="I8" s="25" t="s">
        <v>168</v>
      </c>
      <c r="J8" s="42" t="s">
        <v>116</v>
      </c>
      <c r="K8" s="42" t="s">
        <v>169</v>
      </c>
      <c r="L8" s="26">
        <v>1016040374</v>
      </c>
      <c r="M8" s="43">
        <v>907</v>
      </c>
      <c r="N8" s="44">
        <v>44944</v>
      </c>
      <c r="O8" s="45">
        <v>112500000</v>
      </c>
      <c r="P8" s="44">
        <v>44950</v>
      </c>
      <c r="Q8" s="43" t="s">
        <v>170</v>
      </c>
      <c r="R8" s="46">
        <v>44951</v>
      </c>
      <c r="S8" s="45" t="s">
        <v>119</v>
      </c>
      <c r="T8" s="46">
        <v>44953</v>
      </c>
      <c r="U8" s="45">
        <v>12500000</v>
      </c>
      <c r="V8" s="43">
        <v>861</v>
      </c>
      <c r="W8" s="44">
        <v>44951</v>
      </c>
      <c r="X8" s="47">
        <v>12500000</v>
      </c>
      <c r="Y8" s="46">
        <v>45103</v>
      </c>
      <c r="Z8" s="48" t="s">
        <v>120</v>
      </c>
      <c r="AA8" s="49"/>
      <c r="AB8" s="48"/>
      <c r="AC8" s="26"/>
      <c r="AD8" s="48"/>
      <c r="AE8" s="49"/>
      <c r="AF8" s="48"/>
      <c r="AG8" s="45"/>
      <c r="AH8" s="50">
        <f>U8+AG8</f>
        <v>12500000</v>
      </c>
      <c r="AI8" s="50" t="s">
        <v>121</v>
      </c>
      <c r="AJ8" s="50" t="s">
        <v>121</v>
      </c>
      <c r="AK8" s="50" t="s">
        <v>121</v>
      </c>
      <c r="AL8" s="50" t="s">
        <v>121</v>
      </c>
      <c r="AM8" s="50" t="s">
        <v>121</v>
      </c>
      <c r="AN8" s="50" t="s">
        <v>121</v>
      </c>
      <c r="AO8" s="50" t="s">
        <v>121</v>
      </c>
      <c r="AP8" s="50" t="s">
        <v>121</v>
      </c>
      <c r="AQ8" s="50" t="s">
        <v>121</v>
      </c>
      <c r="AR8" s="50" t="s">
        <v>121</v>
      </c>
      <c r="AS8" s="50" t="s">
        <v>121</v>
      </c>
      <c r="AT8" s="50" t="s">
        <v>121</v>
      </c>
      <c r="AU8" s="50" t="s">
        <v>121</v>
      </c>
      <c r="AV8" s="53"/>
      <c r="AW8" s="40" t="s">
        <v>122</v>
      </c>
      <c r="AX8" s="40" t="s">
        <v>123</v>
      </c>
      <c r="AY8" s="54">
        <v>20235920001473</v>
      </c>
    </row>
    <row r="9" spans="2:51" s="37" customFormat="1" ht="15" x14ac:dyDescent="0.25">
      <c r="B9" s="38">
        <v>8</v>
      </c>
      <c r="C9" s="39">
        <v>2023</v>
      </c>
      <c r="D9" s="40" t="s">
        <v>171</v>
      </c>
      <c r="E9" s="41" t="s">
        <v>113</v>
      </c>
      <c r="F9" s="40" t="s">
        <v>97</v>
      </c>
      <c r="G9" s="40" t="s">
        <v>98</v>
      </c>
      <c r="H9" s="41" t="s">
        <v>172</v>
      </c>
      <c r="I9" s="25" t="s">
        <v>173</v>
      </c>
      <c r="J9" s="42" t="s">
        <v>174</v>
      </c>
      <c r="K9" s="42" t="s">
        <v>175</v>
      </c>
      <c r="L9" s="26">
        <v>80804691</v>
      </c>
      <c r="M9" s="43">
        <v>907</v>
      </c>
      <c r="N9" s="44">
        <v>44944</v>
      </c>
      <c r="O9" s="45">
        <v>112500000</v>
      </c>
      <c r="P9" s="44">
        <v>44950</v>
      </c>
      <c r="Q9" s="43" t="s">
        <v>176</v>
      </c>
      <c r="R9" s="46">
        <v>44951</v>
      </c>
      <c r="S9" s="45" t="s">
        <v>119</v>
      </c>
      <c r="T9" s="46">
        <v>44958</v>
      </c>
      <c r="U9" s="45">
        <v>12500000</v>
      </c>
      <c r="V9" s="43">
        <v>862</v>
      </c>
      <c r="W9" s="44">
        <v>44951</v>
      </c>
      <c r="X9" s="47">
        <v>12500000</v>
      </c>
      <c r="Y9" s="46">
        <v>45107</v>
      </c>
      <c r="Z9" s="48" t="s">
        <v>109</v>
      </c>
      <c r="AA9" s="49" t="s">
        <v>121</v>
      </c>
      <c r="AB9" s="49" t="s">
        <v>121</v>
      </c>
      <c r="AC9" s="26" t="s">
        <v>121</v>
      </c>
      <c r="AD9" s="49" t="s">
        <v>121</v>
      </c>
      <c r="AE9" s="49" t="s">
        <v>121</v>
      </c>
      <c r="AF9" s="48"/>
      <c r="AG9" s="45"/>
      <c r="AH9" s="50">
        <f>U9+AG9</f>
        <v>12500000</v>
      </c>
      <c r="AI9" s="50" t="s">
        <v>121</v>
      </c>
      <c r="AJ9" s="50" t="s">
        <v>121</v>
      </c>
      <c r="AK9" s="50" t="s">
        <v>121</v>
      </c>
      <c r="AL9" s="50" t="s">
        <v>121</v>
      </c>
      <c r="AM9" s="50" t="s">
        <v>121</v>
      </c>
      <c r="AN9" s="50" t="s">
        <v>121</v>
      </c>
      <c r="AO9" s="50" t="s">
        <v>121</v>
      </c>
      <c r="AP9" s="50" t="s">
        <v>121</v>
      </c>
      <c r="AQ9" s="50" t="s">
        <v>121</v>
      </c>
      <c r="AR9" s="50" t="s">
        <v>121</v>
      </c>
      <c r="AS9" s="50" t="s">
        <v>121</v>
      </c>
      <c r="AT9" s="50" t="s">
        <v>121</v>
      </c>
      <c r="AU9" s="50" t="s">
        <v>121</v>
      </c>
      <c r="AV9" s="53">
        <v>45103</v>
      </c>
      <c r="AW9" s="40" t="s">
        <v>152</v>
      </c>
      <c r="AX9" s="40" t="s">
        <v>123</v>
      </c>
      <c r="AY9" s="54">
        <v>20235920001473</v>
      </c>
    </row>
    <row r="10" spans="2:51" s="37" customFormat="1" ht="17.25" customHeight="1" x14ac:dyDescent="0.25">
      <c r="B10" s="38">
        <v>9</v>
      </c>
      <c r="C10" s="39">
        <v>2023</v>
      </c>
      <c r="D10" s="40" t="s">
        <v>177</v>
      </c>
      <c r="E10" s="41" t="s">
        <v>96</v>
      </c>
      <c r="F10" s="40" t="s">
        <v>97</v>
      </c>
      <c r="G10" s="40" t="s">
        <v>98</v>
      </c>
      <c r="H10" s="41" t="s">
        <v>178</v>
      </c>
      <c r="I10" s="25" t="s">
        <v>179</v>
      </c>
      <c r="J10" s="42" t="s">
        <v>180</v>
      </c>
      <c r="K10" s="42" t="s">
        <v>181</v>
      </c>
      <c r="L10" s="26">
        <v>52974047</v>
      </c>
      <c r="M10" s="43">
        <v>929</v>
      </c>
      <c r="N10" s="44">
        <v>44949</v>
      </c>
      <c r="O10" s="45">
        <v>44850000</v>
      </c>
      <c r="P10" s="44">
        <v>44950</v>
      </c>
      <c r="Q10" s="43" t="s">
        <v>182</v>
      </c>
      <c r="R10" s="46">
        <v>44950</v>
      </c>
      <c r="S10" s="45" t="s">
        <v>183</v>
      </c>
      <c r="T10" s="46">
        <v>44950</v>
      </c>
      <c r="U10" s="45">
        <v>42900000</v>
      </c>
      <c r="V10" s="43">
        <v>849</v>
      </c>
      <c r="W10" s="44">
        <v>44950</v>
      </c>
      <c r="X10" s="47">
        <v>42900000</v>
      </c>
      <c r="Y10" s="46">
        <v>45283</v>
      </c>
      <c r="Z10" s="48" t="s">
        <v>120</v>
      </c>
      <c r="AA10" s="49"/>
      <c r="AB10" s="48"/>
      <c r="AC10" s="26"/>
      <c r="AD10" s="48"/>
      <c r="AE10" s="49"/>
      <c r="AF10" s="48"/>
      <c r="AG10" s="45"/>
      <c r="AH10" s="50">
        <f>U10+AG10</f>
        <v>42900000</v>
      </c>
      <c r="AI10" s="48"/>
      <c r="AJ10" s="48"/>
      <c r="AK10" s="48"/>
      <c r="AL10" s="42"/>
      <c r="AM10" s="48"/>
      <c r="AN10" s="48"/>
      <c r="AO10" s="38"/>
      <c r="AP10" s="38"/>
      <c r="AQ10" s="38"/>
      <c r="AR10" s="38"/>
      <c r="AS10" s="38"/>
      <c r="AT10" s="51"/>
      <c r="AU10" s="52"/>
      <c r="AV10" s="38"/>
      <c r="AW10" s="41" t="s">
        <v>56</v>
      </c>
      <c r="AX10" s="40" t="s">
        <v>184</v>
      </c>
      <c r="AY10" s="54">
        <v>20235920001973</v>
      </c>
    </row>
    <row r="11" spans="2:51" s="37" customFormat="1" ht="26.25" x14ac:dyDescent="0.25">
      <c r="B11" s="38">
        <v>10</v>
      </c>
      <c r="C11" s="39">
        <v>2023</v>
      </c>
      <c r="D11" s="40" t="s">
        <v>185</v>
      </c>
      <c r="E11" s="41" t="s">
        <v>96</v>
      </c>
      <c r="F11" s="40" t="s">
        <v>97</v>
      </c>
      <c r="G11" s="40" t="s">
        <v>98</v>
      </c>
      <c r="H11" s="41" t="s">
        <v>186</v>
      </c>
      <c r="I11" s="25" t="s">
        <v>187</v>
      </c>
      <c r="J11" s="42" t="s">
        <v>127</v>
      </c>
      <c r="K11" s="42" t="s">
        <v>188</v>
      </c>
      <c r="L11" s="26">
        <v>79628456</v>
      </c>
      <c r="M11" s="43" t="s">
        <v>189</v>
      </c>
      <c r="N11" s="44" t="s">
        <v>190</v>
      </c>
      <c r="O11" s="45">
        <f>86250000+24500000</f>
        <v>110750000</v>
      </c>
      <c r="P11" s="44">
        <v>44950</v>
      </c>
      <c r="Q11" s="43" t="s">
        <v>191</v>
      </c>
      <c r="R11" s="46">
        <v>44950</v>
      </c>
      <c r="S11" s="45" t="s">
        <v>106</v>
      </c>
      <c r="T11" s="46">
        <v>44951</v>
      </c>
      <c r="U11" s="45">
        <v>60000000</v>
      </c>
      <c r="V11" s="43" t="s">
        <v>192</v>
      </c>
      <c r="W11" s="44" t="s">
        <v>193</v>
      </c>
      <c r="X11" s="47">
        <f>60000000+24500000</f>
        <v>84500000</v>
      </c>
      <c r="Y11" s="46">
        <v>45193</v>
      </c>
      <c r="Z11" s="48" t="s">
        <v>109</v>
      </c>
      <c r="AA11" s="49"/>
      <c r="AB11" s="48"/>
      <c r="AC11" s="26"/>
      <c r="AD11" s="48"/>
      <c r="AE11" s="49"/>
      <c r="AF11" s="49">
        <v>45191</v>
      </c>
      <c r="AG11" s="45">
        <v>24500000</v>
      </c>
      <c r="AH11" s="50">
        <f>U11+AG11</f>
        <v>84500000</v>
      </c>
      <c r="AI11" s="48" t="s">
        <v>191</v>
      </c>
      <c r="AJ11" s="49">
        <v>45205</v>
      </c>
      <c r="AK11" s="49">
        <v>45191</v>
      </c>
      <c r="AL11" s="42" t="s">
        <v>194</v>
      </c>
      <c r="AM11" s="48" t="s">
        <v>191</v>
      </c>
      <c r="AN11" s="49">
        <v>45205</v>
      </c>
      <c r="AO11" s="38"/>
      <c r="AP11" s="38"/>
      <c r="AQ11" s="38"/>
      <c r="AR11" s="38"/>
      <c r="AS11" s="38"/>
      <c r="AT11" s="51"/>
      <c r="AU11" s="52"/>
      <c r="AV11" s="53">
        <v>45291</v>
      </c>
      <c r="AW11" s="41" t="s">
        <v>56</v>
      </c>
      <c r="AX11" s="40" t="s">
        <v>195</v>
      </c>
      <c r="AY11" s="54" t="s">
        <v>121</v>
      </c>
    </row>
    <row r="12" spans="2:51" s="37" customFormat="1" ht="26.25" x14ac:dyDescent="0.25">
      <c r="B12" s="38">
        <v>11</v>
      </c>
      <c r="C12" s="39">
        <v>2023</v>
      </c>
      <c r="D12" s="40" t="s">
        <v>196</v>
      </c>
      <c r="E12" s="41" t="s">
        <v>96</v>
      </c>
      <c r="F12" s="40" t="s">
        <v>97</v>
      </c>
      <c r="G12" s="40" t="s">
        <v>98</v>
      </c>
      <c r="H12" s="41" t="s">
        <v>197</v>
      </c>
      <c r="I12" s="25" t="s">
        <v>198</v>
      </c>
      <c r="J12" s="42" t="s">
        <v>127</v>
      </c>
      <c r="K12" s="42" t="s">
        <v>199</v>
      </c>
      <c r="L12" s="26">
        <v>1031165403</v>
      </c>
      <c r="M12" s="43" t="s">
        <v>200</v>
      </c>
      <c r="N12" s="44" t="s">
        <v>201</v>
      </c>
      <c r="O12" s="45">
        <f>469200000+21986667</f>
        <v>491186667</v>
      </c>
      <c r="P12" s="44">
        <v>44950</v>
      </c>
      <c r="Q12" s="43" t="s">
        <v>202</v>
      </c>
      <c r="R12" s="46">
        <v>44951</v>
      </c>
      <c r="S12" s="45" t="s">
        <v>106</v>
      </c>
      <c r="T12" s="46">
        <v>44951</v>
      </c>
      <c r="U12" s="45">
        <v>54400000</v>
      </c>
      <c r="V12" s="43" t="s">
        <v>203</v>
      </c>
      <c r="W12" s="44" t="s">
        <v>204</v>
      </c>
      <c r="X12" s="47">
        <v>54400000</v>
      </c>
      <c r="Y12" s="46">
        <v>45194</v>
      </c>
      <c r="Z12" s="48" t="s">
        <v>109</v>
      </c>
      <c r="AA12" s="49"/>
      <c r="AB12" s="48"/>
      <c r="AC12" s="26"/>
      <c r="AD12" s="48"/>
      <c r="AE12" s="49"/>
      <c r="AF12" s="49">
        <v>45183</v>
      </c>
      <c r="AG12" s="45">
        <v>21986667</v>
      </c>
      <c r="AH12" s="50">
        <f>U12+AG12</f>
        <v>76386667</v>
      </c>
      <c r="AI12" s="48" t="s">
        <v>202</v>
      </c>
      <c r="AJ12" s="49">
        <v>45187</v>
      </c>
      <c r="AK12" s="49">
        <v>45183</v>
      </c>
      <c r="AL12" s="42" t="s">
        <v>205</v>
      </c>
      <c r="AM12" s="48" t="s">
        <v>202</v>
      </c>
      <c r="AN12" s="49">
        <v>45187</v>
      </c>
      <c r="AO12" s="38"/>
      <c r="AP12" s="38"/>
      <c r="AQ12" s="38"/>
      <c r="AR12" s="38"/>
      <c r="AS12" s="38"/>
      <c r="AT12" s="51"/>
      <c r="AU12" s="52"/>
      <c r="AV12" s="53">
        <v>45291</v>
      </c>
      <c r="AW12" s="41" t="s">
        <v>56</v>
      </c>
      <c r="AX12" s="40" t="s">
        <v>111</v>
      </c>
      <c r="AY12" s="54">
        <v>20235920001133</v>
      </c>
    </row>
    <row r="13" spans="2:51" s="37" customFormat="1" ht="17.25" customHeight="1" x14ac:dyDescent="0.25">
      <c r="B13" s="38">
        <v>12</v>
      </c>
      <c r="C13" s="39">
        <v>2023</v>
      </c>
      <c r="D13" s="40" t="s">
        <v>206</v>
      </c>
      <c r="E13" s="41" t="s">
        <v>139</v>
      </c>
      <c r="F13" s="40" t="s">
        <v>97</v>
      </c>
      <c r="G13" s="40" t="s">
        <v>98</v>
      </c>
      <c r="H13" s="41" t="s">
        <v>207</v>
      </c>
      <c r="I13" s="25" t="s">
        <v>208</v>
      </c>
      <c r="J13" s="42" t="s">
        <v>116</v>
      </c>
      <c r="K13" s="42" t="s">
        <v>209</v>
      </c>
      <c r="L13" s="26">
        <v>52321265</v>
      </c>
      <c r="M13" s="43">
        <v>883</v>
      </c>
      <c r="N13" s="44">
        <v>44943</v>
      </c>
      <c r="O13" s="45">
        <v>79500000</v>
      </c>
      <c r="P13" s="44">
        <v>44949</v>
      </c>
      <c r="Q13" s="43" t="s">
        <v>210</v>
      </c>
      <c r="R13" s="46">
        <v>44950</v>
      </c>
      <c r="S13" s="45" t="s">
        <v>162</v>
      </c>
      <c r="T13" s="46">
        <v>44950</v>
      </c>
      <c r="U13" s="45">
        <v>39750000</v>
      </c>
      <c r="V13" s="43">
        <v>847</v>
      </c>
      <c r="W13" s="44">
        <v>44950</v>
      </c>
      <c r="X13" s="47">
        <v>39750000</v>
      </c>
      <c r="Y13" s="46">
        <v>45177</v>
      </c>
      <c r="Z13" s="48" t="s">
        <v>109</v>
      </c>
      <c r="AA13" s="49" t="s">
        <v>121</v>
      </c>
      <c r="AB13" s="49" t="s">
        <v>121</v>
      </c>
      <c r="AC13" s="26" t="s">
        <v>121</v>
      </c>
      <c r="AD13" s="49" t="s">
        <v>121</v>
      </c>
      <c r="AE13" s="49" t="s">
        <v>121</v>
      </c>
      <c r="AF13" s="49" t="s">
        <v>121</v>
      </c>
      <c r="AG13" s="48" t="s">
        <v>121</v>
      </c>
      <c r="AH13" s="50" t="s">
        <v>121</v>
      </c>
      <c r="AI13" s="48" t="s">
        <v>121</v>
      </c>
      <c r="AJ13" s="48" t="s">
        <v>121</v>
      </c>
      <c r="AK13" s="48" t="s">
        <v>121</v>
      </c>
      <c r="AL13" s="48" t="s">
        <v>121</v>
      </c>
      <c r="AM13" s="48" t="s">
        <v>121</v>
      </c>
      <c r="AN13" s="48" t="s">
        <v>121</v>
      </c>
      <c r="AO13" s="48" t="s">
        <v>121</v>
      </c>
      <c r="AP13" s="48" t="s">
        <v>121</v>
      </c>
      <c r="AQ13" s="48" t="s">
        <v>121</v>
      </c>
      <c r="AR13" s="48" t="s">
        <v>121</v>
      </c>
      <c r="AS13" s="48" t="s">
        <v>121</v>
      </c>
      <c r="AT13" s="48" t="s">
        <v>121</v>
      </c>
      <c r="AU13" s="48" t="s">
        <v>121</v>
      </c>
      <c r="AV13" s="53">
        <v>45104</v>
      </c>
      <c r="AW13" s="40" t="s">
        <v>152</v>
      </c>
      <c r="AX13" s="40" t="s">
        <v>184</v>
      </c>
      <c r="AY13" s="54">
        <v>20235920001883</v>
      </c>
    </row>
    <row r="14" spans="2:51" s="37" customFormat="1" ht="15" x14ac:dyDescent="0.25">
      <c r="B14" s="38">
        <v>13</v>
      </c>
      <c r="C14" s="39">
        <v>2023</v>
      </c>
      <c r="D14" s="40" t="s">
        <v>211</v>
      </c>
      <c r="E14" s="41" t="s">
        <v>113</v>
      </c>
      <c r="F14" s="40" t="s">
        <v>97</v>
      </c>
      <c r="G14" s="40" t="s">
        <v>98</v>
      </c>
      <c r="H14" s="41" t="s">
        <v>212</v>
      </c>
      <c r="I14" s="25" t="s">
        <v>213</v>
      </c>
      <c r="J14" s="42" t="s">
        <v>214</v>
      </c>
      <c r="K14" s="42" t="s">
        <v>215</v>
      </c>
      <c r="L14" s="26">
        <v>79340883</v>
      </c>
      <c r="M14" s="43">
        <v>907</v>
      </c>
      <c r="N14" s="44">
        <v>44944</v>
      </c>
      <c r="O14" s="45">
        <v>112500000</v>
      </c>
      <c r="P14" s="44">
        <v>44952</v>
      </c>
      <c r="Q14" s="43" t="s">
        <v>216</v>
      </c>
      <c r="R14" s="46">
        <v>44958</v>
      </c>
      <c r="S14" s="45" t="s">
        <v>119</v>
      </c>
      <c r="T14" s="46">
        <v>44958</v>
      </c>
      <c r="U14" s="45">
        <v>12500000</v>
      </c>
      <c r="V14" s="43">
        <v>897</v>
      </c>
      <c r="W14" s="44">
        <v>44958</v>
      </c>
      <c r="X14" s="47">
        <v>12500000</v>
      </c>
      <c r="Y14" s="46">
        <v>45107</v>
      </c>
      <c r="Z14" s="48" t="s">
        <v>109</v>
      </c>
      <c r="AA14" s="49" t="s">
        <v>121</v>
      </c>
      <c r="AB14" s="49" t="s">
        <v>121</v>
      </c>
      <c r="AC14" s="26" t="s">
        <v>121</v>
      </c>
      <c r="AD14" s="49" t="s">
        <v>121</v>
      </c>
      <c r="AE14" s="49" t="s">
        <v>121</v>
      </c>
      <c r="AF14" s="48"/>
      <c r="AG14" s="45"/>
      <c r="AH14" s="50">
        <f>U14+AG14</f>
        <v>12500000</v>
      </c>
      <c r="AI14" s="50" t="s">
        <v>121</v>
      </c>
      <c r="AJ14" s="50" t="s">
        <v>121</v>
      </c>
      <c r="AK14" s="50" t="s">
        <v>121</v>
      </c>
      <c r="AL14" s="50" t="s">
        <v>121</v>
      </c>
      <c r="AM14" s="50" t="s">
        <v>121</v>
      </c>
      <c r="AN14" s="50" t="s">
        <v>121</v>
      </c>
      <c r="AO14" s="50" t="s">
        <v>121</v>
      </c>
      <c r="AP14" s="50" t="s">
        <v>121</v>
      </c>
      <c r="AQ14" s="50" t="s">
        <v>121</v>
      </c>
      <c r="AR14" s="50" t="s">
        <v>121</v>
      </c>
      <c r="AS14" s="50" t="s">
        <v>121</v>
      </c>
      <c r="AT14" s="50" t="s">
        <v>121</v>
      </c>
      <c r="AU14" s="50" t="s">
        <v>121</v>
      </c>
      <c r="AV14" s="53">
        <v>45103</v>
      </c>
      <c r="AW14" s="40" t="s">
        <v>152</v>
      </c>
      <c r="AX14" s="40" t="s">
        <v>123</v>
      </c>
      <c r="AY14" s="54">
        <v>20235920001473</v>
      </c>
    </row>
    <row r="15" spans="2:51" s="37" customFormat="1" ht="26.25" x14ac:dyDescent="0.25">
      <c r="B15" s="38">
        <v>14</v>
      </c>
      <c r="C15" s="39">
        <v>2023</v>
      </c>
      <c r="D15" s="40" t="s">
        <v>217</v>
      </c>
      <c r="E15" s="41" t="s">
        <v>139</v>
      </c>
      <c r="F15" s="40" t="s">
        <v>97</v>
      </c>
      <c r="G15" s="40" t="s">
        <v>98</v>
      </c>
      <c r="H15" s="41" t="s">
        <v>218</v>
      </c>
      <c r="I15" s="25" t="s">
        <v>219</v>
      </c>
      <c r="J15" s="42" t="s">
        <v>220</v>
      </c>
      <c r="K15" s="42" t="s">
        <v>221</v>
      </c>
      <c r="L15" s="26">
        <v>79697196</v>
      </c>
      <c r="M15" s="43" t="s">
        <v>222</v>
      </c>
      <c r="N15" s="44" t="s">
        <v>223</v>
      </c>
      <c r="O15" s="45">
        <f>79500000+19786667</f>
        <v>99286667</v>
      </c>
      <c r="P15" s="44">
        <v>44950</v>
      </c>
      <c r="Q15" s="43" t="s">
        <v>224</v>
      </c>
      <c r="R15" s="46">
        <v>44951</v>
      </c>
      <c r="S15" s="45" t="s">
        <v>162</v>
      </c>
      <c r="T15" s="46">
        <v>44952</v>
      </c>
      <c r="U15" s="45">
        <v>39750000</v>
      </c>
      <c r="V15" s="43" t="s">
        <v>225</v>
      </c>
      <c r="W15" s="44" t="s">
        <v>164</v>
      </c>
      <c r="X15" s="47">
        <f>39750000+19786667</f>
        <v>59536667</v>
      </c>
      <c r="Y15" s="46">
        <v>45178</v>
      </c>
      <c r="Z15" s="48" t="s">
        <v>109</v>
      </c>
      <c r="AA15" s="49"/>
      <c r="AB15" s="48"/>
      <c r="AC15" s="26"/>
      <c r="AD15" s="48"/>
      <c r="AE15" s="49"/>
      <c r="AF15" s="49">
        <v>45177</v>
      </c>
      <c r="AG15" s="45">
        <v>19786667</v>
      </c>
      <c r="AH15" s="50">
        <f>U15+AG15</f>
        <v>59536667</v>
      </c>
      <c r="AI15" s="48" t="s">
        <v>224</v>
      </c>
      <c r="AJ15" s="49">
        <v>45177</v>
      </c>
      <c r="AK15" s="49">
        <v>45177</v>
      </c>
      <c r="AL15" s="42" t="s">
        <v>165</v>
      </c>
      <c r="AM15" s="48" t="s">
        <v>224</v>
      </c>
      <c r="AN15" s="49">
        <v>45177</v>
      </c>
      <c r="AO15" s="38"/>
      <c r="AP15" s="38"/>
      <c r="AQ15" s="38"/>
      <c r="AR15" s="38"/>
      <c r="AS15" s="38"/>
      <c r="AT15" s="51"/>
      <c r="AU15" s="52"/>
      <c r="AV15" s="53">
        <v>45290</v>
      </c>
      <c r="AW15" s="41" t="s">
        <v>56</v>
      </c>
      <c r="AX15" s="40" t="s">
        <v>226</v>
      </c>
      <c r="AY15" s="54">
        <v>20235920001913</v>
      </c>
    </row>
    <row r="16" spans="2:51" s="37" customFormat="1" ht="26.25" x14ac:dyDescent="0.25">
      <c r="B16" s="38">
        <v>15</v>
      </c>
      <c r="C16" s="39">
        <v>2023</v>
      </c>
      <c r="D16" s="40" t="s">
        <v>227</v>
      </c>
      <c r="E16" s="41" t="s">
        <v>128</v>
      </c>
      <c r="F16" s="40" t="s">
        <v>97</v>
      </c>
      <c r="G16" s="40" t="s">
        <v>98</v>
      </c>
      <c r="H16" s="41" t="s">
        <v>228</v>
      </c>
      <c r="I16" s="25" t="s">
        <v>229</v>
      </c>
      <c r="J16" s="42" t="s">
        <v>230</v>
      </c>
      <c r="K16" s="42" t="s">
        <v>231</v>
      </c>
      <c r="L16" s="26">
        <v>1014252451</v>
      </c>
      <c r="M16" s="43" t="s">
        <v>232</v>
      </c>
      <c r="N16" s="44" t="s">
        <v>233</v>
      </c>
      <c r="O16" s="45">
        <f>45000000+21600000</f>
        <v>66600000</v>
      </c>
      <c r="P16" s="44">
        <v>44951</v>
      </c>
      <c r="Q16" s="43" t="s">
        <v>234</v>
      </c>
      <c r="R16" s="46">
        <v>44952</v>
      </c>
      <c r="S16" s="45" t="s">
        <v>162</v>
      </c>
      <c r="T16" s="46">
        <v>44952</v>
      </c>
      <c r="U16" s="45">
        <v>45000000</v>
      </c>
      <c r="V16" s="43" t="s">
        <v>235</v>
      </c>
      <c r="W16" s="44" t="s">
        <v>236</v>
      </c>
      <c r="X16" s="47">
        <f>45000000+21600000</f>
        <v>66600000</v>
      </c>
      <c r="Y16" s="46">
        <v>45179</v>
      </c>
      <c r="Z16" s="48" t="s">
        <v>109</v>
      </c>
      <c r="AA16" s="49"/>
      <c r="AB16" s="48"/>
      <c r="AC16" s="26"/>
      <c r="AD16" s="48"/>
      <c r="AE16" s="49"/>
      <c r="AF16" s="49">
        <v>45177</v>
      </c>
      <c r="AG16" s="45">
        <v>21600000</v>
      </c>
      <c r="AH16" s="50">
        <f>U16+AG16</f>
        <v>66600000</v>
      </c>
      <c r="AI16" s="48" t="s">
        <v>234</v>
      </c>
      <c r="AJ16" s="49">
        <v>45180</v>
      </c>
      <c r="AK16" s="49">
        <v>45177</v>
      </c>
      <c r="AL16" s="42" t="s">
        <v>237</v>
      </c>
      <c r="AM16" s="48" t="s">
        <v>234</v>
      </c>
      <c r="AN16" s="49">
        <v>45180</v>
      </c>
      <c r="AO16" s="38"/>
      <c r="AP16" s="38"/>
      <c r="AQ16" s="38"/>
      <c r="AR16" s="38"/>
      <c r="AS16" s="38"/>
      <c r="AT16" s="51"/>
      <c r="AU16" s="52"/>
      <c r="AV16" s="53">
        <v>45288</v>
      </c>
      <c r="AW16" s="41" t="s">
        <v>56</v>
      </c>
      <c r="AX16" s="40" t="s">
        <v>238</v>
      </c>
      <c r="AY16" s="54">
        <v>20235920001163</v>
      </c>
    </row>
    <row r="17" spans="2:51" s="37" customFormat="1" ht="26.25" x14ac:dyDescent="0.25">
      <c r="B17" s="38">
        <v>16</v>
      </c>
      <c r="C17" s="39">
        <v>2023</v>
      </c>
      <c r="D17" s="40" t="s">
        <v>239</v>
      </c>
      <c r="E17" s="41" t="s">
        <v>139</v>
      </c>
      <c r="F17" s="40" t="s">
        <v>97</v>
      </c>
      <c r="G17" s="40" t="s">
        <v>98</v>
      </c>
      <c r="H17" s="41" t="s">
        <v>240</v>
      </c>
      <c r="I17" s="25" t="s">
        <v>241</v>
      </c>
      <c r="J17" s="42" t="s">
        <v>242</v>
      </c>
      <c r="K17" s="42" t="s">
        <v>243</v>
      </c>
      <c r="L17" s="26">
        <v>51874701</v>
      </c>
      <c r="M17" s="43" t="s">
        <v>244</v>
      </c>
      <c r="N17" s="44" t="s">
        <v>160</v>
      </c>
      <c r="O17" s="45">
        <f>37500000+9250000</f>
        <v>46750000</v>
      </c>
      <c r="P17" s="44">
        <v>44951</v>
      </c>
      <c r="Q17" s="43" t="s">
        <v>245</v>
      </c>
      <c r="R17" s="46">
        <v>44951</v>
      </c>
      <c r="S17" s="45" t="s">
        <v>162</v>
      </c>
      <c r="T17" s="46">
        <v>44952</v>
      </c>
      <c r="U17" s="45">
        <v>18750000</v>
      </c>
      <c r="V17" s="43" t="s">
        <v>246</v>
      </c>
      <c r="W17" s="44" t="s">
        <v>164</v>
      </c>
      <c r="X17" s="47">
        <f>18750000+9250000</f>
        <v>28000000</v>
      </c>
      <c r="Y17" s="46">
        <v>45179</v>
      </c>
      <c r="Z17" s="48" t="s">
        <v>109</v>
      </c>
      <c r="AA17" s="49"/>
      <c r="AB17" s="48"/>
      <c r="AC17" s="26"/>
      <c r="AD17" s="48"/>
      <c r="AE17" s="49"/>
      <c r="AF17" s="49">
        <v>45177</v>
      </c>
      <c r="AG17" s="45">
        <v>9250000</v>
      </c>
      <c r="AH17" s="50">
        <f>U17+AG17</f>
        <v>28000000</v>
      </c>
      <c r="AI17" s="48" t="s">
        <v>245</v>
      </c>
      <c r="AJ17" s="49">
        <v>45184</v>
      </c>
      <c r="AK17" s="49">
        <v>45177</v>
      </c>
      <c r="AL17" s="42" t="s">
        <v>247</v>
      </c>
      <c r="AM17" s="48" t="s">
        <v>245</v>
      </c>
      <c r="AN17" s="49">
        <v>45184</v>
      </c>
      <c r="AO17" s="38"/>
      <c r="AP17" s="38"/>
      <c r="AQ17" s="38"/>
      <c r="AR17" s="38"/>
      <c r="AS17" s="38"/>
      <c r="AT17" s="51"/>
      <c r="AU17" s="52"/>
      <c r="AV17" s="53">
        <v>45290</v>
      </c>
      <c r="AW17" s="41" t="s">
        <v>56</v>
      </c>
      <c r="AX17" s="40" t="s">
        <v>145</v>
      </c>
      <c r="AY17" s="54">
        <v>20235920001923</v>
      </c>
    </row>
    <row r="18" spans="2:51" s="37" customFormat="1" ht="17.25" customHeight="1" x14ac:dyDescent="0.25">
      <c r="B18" s="38">
        <v>17</v>
      </c>
      <c r="C18" s="39">
        <v>2023</v>
      </c>
      <c r="D18" s="40" t="s">
        <v>248</v>
      </c>
      <c r="E18" s="41" t="s">
        <v>139</v>
      </c>
      <c r="F18" s="40" t="s">
        <v>97</v>
      </c>
      <c r="G18" s="40" t="s">
        <v>98</v>
      </c>
      <c r="H18" s="41" t="s">
        <v>249</v>
      </c>
      <c r="I18" s="25" t="s">
        <v>250</v>
      </c>
      <c r="J18" s="42" t="s">
        <v>251</v>
      </c>
      <c r="K18" s="42" t="s">
        <v>252</v>
      </c>
      <c r="L18" s="26">
        <v>79378493</v>
      </c>
      <c r="M18" s="43">
        <v>884</v>
      </c>
      <c r="N18" s="44">
        <v>44943</v>
      </c>
      <c r="O18" s="45">
        <v>33900000</v>
      </c>
      <c r="P18" s="44">
        <v>44951</v>
      </c>
      <c r="Q18" s="43" t="s">
        <v>253</v>
      </c>
      <c r="R18" s="46">
        <v>44952</v>
      </c>
      <c r="S18" s="45" t="s">
        <v>162</v>
      </c>
      <c r="T18" s="46">
        <v>44952</v>
      </c>
      <c r="U18" s="45">
        <v>33900000</v>
      </c>
      <c r="V18" s="43">
        <v>868</v>
      </c>
      <c r="W18" s="44">
        <v>44952</v>
      </c>
      <c r="X18" s="47">
        <v>33900000</v>
      </c>
      <c r="Y18" s="46">
        <v>45179</v>
      </c>
      <c r="Z18" s="48" t="s">
        <v>120</v>
      </c>
      <c r="AA18" s="49" t="s">
        <v>121</v>
      </c>
      <c r="AB18" s="48" t="s">
        <v>121</v>
      </c>
      <c r="AC18" s="48" t="s">
        <v>121</v>
      </c>
      <c r="AD18" s="48" t="s">
        <v>121</v>
      </c>
      <c r="AE18" s="48" t="s">
        <v>121</v>
      </c>
      <c r="AF18" s="48" t="s">
        <v>121</v>
      </c>
      <c r="AG18" s="48" t="s">
        <v>121</v>
      </c>
      <c r="AH18" s="48" t="s">
        <v>121</v>
      </c>
      <c r="AI18" s="48" t="s">
        <v>121</v>
      </c>
      <c r="AJ18" s="48" t="s">
        <v>121</v>
      </c>
      <c r="AK18" s="48" t="s">
        <v>121</v>
      </c>
      <c r="AL18" s="48" t="s">
        <v>121</v>
      </c>
      <c r="AM18" s="48" t="s">
        <v>121</v>
      </c>
      <c r="AN18" s="48" t="s">
        <v>121</v>
      </c>
      <c r="AO18" s="38"/>
      <c r="AP18" s="38" t="s">
        <v>121</v>
      </c>
      <c r="AQ18" s="38" t="s">
        <v>121</v>
      </c>
      <c r="AR18" s="38" t="s">
        <v>121</v>
      </c>
      <c r="AS18" s="38" t="s">
        <v>121</v>
      </c>
      <c r="AT18" s="38" t="s">
        <v>121</v>
      </c>
      <c r="AU18" s="38" t="s">
        <v>121</v>
      </c>
      <c r="AV18" s="38" t="s">
        <v>121</v>
      </c>
      <c r="AW18" s="41" t="s">
        <v>122</v>
      </c>
      <c r="AX18" s="40" t="s">
        <v>184</v>
      </c>
      <c r="AY18" s="54">
        <v>20235920001883</v>
      </c>
    </row>
    <row r="19" spans="2:51" s="37" customFormat="1" ht="26.25" x14ac:dyDescent="0.25">
      <c r="B19" s="38">
        <v>18</v>
      </c>
      <c r="C19" s="39">
        <v>2023</v>
      </c>
      <c r="D19" s="40" t="s">
        <v>254</v>
      </c>
      <c r="E19" s="41" t="s">
        <v>139</v>
      </c>
      <c r="F19" s="40" t="s">
        <v>97</v>
      </c>
      <c r="G19" s="40" t="s">
        <v>98</v>
      </c>
      <c r="H19" s="41" t="s">
        <v>255</v>
      </c>
      <c r="I19" s="25" t="s">
        <v>256</v>
      </c>
      <c r="J19" s="42" t="s">
        <v>257</v>
      </c>
      <c r="K19" s="42" t="s">
        <v>258</v>
      </c>
      <c r="L19" s="26">
        <v>79265641</v>
      </c>
      <c r="M19" s="43" t="s">
        <v>259</v>
      </c>
      <c r="N19" s="44" t="s">
        <v>223</v>
      </c>
      <c r="O19" s="45">
        <f>159000000+19610000</f>
        <v>178610000</v>
      </c>
      <c r="P19" s="44">
        <v>44951</v>
      </c>
      <c r="Q19" s="43" t="s">
        <v>260</v>
      </c>
      <c r="R19" s="46">
        <v>44952</v>
      </c>
      <c r="S19" s="45" t="s">
        <v>162</v>
      </c>
      <c r="T19" s="46">
        <v>44953</v>
      </c>
      <c r="U19" s="45">
        <v>39750000</v>
      </c>
      <c r="V19" s="43" t="s">
        <v>261</v>
      </c>
      <c r="W19" s="44" t="s">
        <v>262</v>
      </c>
      <c r="X19" s="47">
        <f>39750000+19610000</f>
        <v>59360000</v>
      </c>
      <c r="Y19" s="46">
        <v>45180</v>
      </c>
      <c r="Z19" s="48" t="s">
        <v>109</v>
      </c>
      <c r="AA19" s="49"/>
      <c r="AB19" s="48"/>
      <c r="AC19" s="26"/>
      <c r="AD19" s="48" t="s">
        <v>260</v>
      </c>
      <c r="AE19" s="49">
        <v>45182</v>
      </c>
      <c r="AF19" s="49">
        <v>45180</v>
      </c>
      <c r="AG19" s="45">
        <v>19610000</v>
      </c>
      <c r="AH19" s="50">
        <f>U19+AG19</f>
        <v>59360000</v>
      </c>
      <c r="AI19" s="48" t="s">
        <v>260</v>
      </c>
      <c r="AJ19" s="49">
        <v>45182</v>
      </c>
      <c r="AK19" s="49">
        <v>45180</v>
      </c>
      <c r="AL19" s="42" t="s">
        <v>247</v>
      </c>
      <c r="AM19" s="48" t="s">
        <v>260</v>
      </c>
      <c r="AN19" s="49">
        <v>45182</v>
      </c>
      <c r="AO19" s="49">
        <v>45180</v>
      </c>
      <c r="AP19" s="38"/>
      <c r="AQ19" s="38"/>
      <c r="AR19" s="38"/>
      <c r="AS19" s="38"/>
      <c r="AT19" s="51"/>
      <c r="AU19" s="52"/>
      <c r="AV19" s="53">
        <v>45291</v>
      </c>
      <c r="AW19" s="41" t="s">
        <v>56</v>
      </c>
      <c r="AX19" s="40" t="s">
        <v>145</v>
      </c>
      <c r="AY19" s="54">
        <v>20235920001903</v>
      </c>
    </row>
    <row r="20" spans="2:51" s="37" customFormat="1" ht="26.25" x14ac:dyDescent="0.25">
      <c r="B20" s="38">
        <v>19</v>
      </c>
      <c r="C20" s="39">
        <v>2023</v>
      </c>
      <c r="D20" s="40" t="s">
        <v>263</v>
      </c>
      <c r="E20" s="41" t="s">
        <v>153</v>
      </c>
      <c r="F20" s="40" t="s">
        <v>97</v>
      </c>
      <c r="G20" s="40" t="s">
        <v>98</v>
      </c>
      <c r="H20" s="41" t="s">
        <v>264</v>
      </c>
      <c r="I20" s="25" t="s">
        <v>265</v>
      </c>
      <c r="J20" s="42" t="s">
        <v>257</v>
      </c>
      <c r="K20" s="42" t="s">
        <v>266</v>
      </c>
      <c r="L20" s="26">
        <v>1012437770</v>
      </c>
      <c r="M20" s="43" t="s">
        <v>267</v>
      </c>
      <c r="N20" s="44" t="s">
        <v>268</v>
      </c>
      <c r="O20" s="45">
        <f>105000000+12600000</f>
        <v>117600000</v>
      </c>
      <c r="P20" s="44">
        <v>44952</v>
      </c>
      <c r="Q20" s="43">
        <v>101196895</v>
      </c>
      <c r="R20" s="46">
        <v>44953</v>
      </c>
      <c r="S20" s="45" t="s">
        <v>162</v>
      </c>
      <c r="T20" s="46">
        <v>44956</v>
      </c>
      <c r="U20" s="45">
        <v>26250000</v>
      </c>
      <c r="V20" s="43" t="s">
        <v>269</v>
      </c>
      <c r="W20" s="44" t="s">
        <v>270</v>
      </c>
      <c r="X20" s="47">
        <f>26250000+12600000</f>
        <v>38850000</v>
      </c>
      <c r="Y20" s="46">
        <v>45183</v>
      </c>
      <c r="Z20" s="48" t="s">
        <v>109</v>
      </c>
      <c r="AA20" s="49"/>
      <c r="AB20" s="48"/>
      <c r="AC20" s="26"/>
      <c r="AD20" s="48"/>
      <c r="AE20" s="49"/>
      <c r="AF20" s="49">
        <v>45183</v>
      </c>
      <c r="AG20" s="45">
        <v>12600000</v>
      </c>
      <c r="AH20" s="50">
        <f>U20+AG20</f>
        <v>38850000</v>
      </c>
      <c r="AI20" s="48">
        <v>101196895</v>
      </c>
      <c r="AJ20" s="49">
        <v>45188</v>
      </c>
      <c r="AK20" s="49">
        <v>45183</v>
      </c>
      <c r="AL20" s="42" t="s">
        <v>237</v>
      </c>
      <c r="AM20" s="48">
        <v>101196895</v>
      </c>
      <c r="AN20" s="49">
        <v>45188</v>
      </c>
      <c r="AO20" s="38"/>
      <c r="AP20" s="38"/>
      <c r="AQ20" s="38"/>
      <c r="AR20" s="38"/>
      <c r="AS20" s="38"/>
      <c r="AT20" s="51"/>
      <c r="AU20" s="52"/>
      <c r="AV20" s="53">
        <v>45292</v>
      </c>
      <c r="AW20" s="41" t="s">
        <v>56</v>
      </c>
      <c r="AX20" s="40" t="s">
        <v>271</v>
      </c>
      <c r="AY20" s="54">
        <v>20235920001643</v>
      </c>
    </row>
    <row r="21" spans="2:51" s="37" customFormat="1" ht="26.25" x14ac:dyDescent="0.25">
      <c r="B21" s="38">
        <v>20</v>
      </c>
      <c r="C21" s="39">
        <v>2023</v>
      </c>
      <c r="D21" s="40" t="s">
        <v>272</v>
      </c>
      <c r="E21" s="41" t="s">
        <v>153</v>
      </c>
      <c r="F21" s="40" t="s">
        <v>97</v>
      </c>
      <c r="G21" s="40" t="s">
        <v>98</v>
      </c>
      <c r="H21" s="41" t="s">
        <v>273</v>
      </c>
      <c r="I21" s="25" t="s">
        <v>274</v>
      </c>
      <c r="J21" s="42" t="s">
        <v>257</v>
      </c>
      <c r="K21" s="42" t="s">
        <v>275</v>
      </c>
      <c r="L21" s="26">
        <v>52980117</v>
      </c>
      <c r="M21" s="43" t="s">
        <v>276</v>
      </c>
      <c r="N21" s="44" t="s">
        <v>277</v>
      </c>
      <c r="O21" s="45">
        <f>105000000+12366667</f>
        <v>117366667</v>
      </c>
      <c r="P21" s="44">
        <v>44957</v>
      </c>
      <c r="Q21" s="43" t="s">
        <v>278</v>
      </c>
      <c r="R21" s="46">
        <v>44957</v>
      </c>
      <c r="S21" s="45" t="s">
        <v>162</v>
      </c>
      <c r="T21" s="46">
        <v>44959</v>
      </c>
      <c r="U21" s="45">
        <v>26250000</v>
      </c>
      <c r="V21" s="43" t="s">
        <v>279</v>
      </c>
      <c r="W21" s="44" t="s">
        <v>280</v>
      </c>
      <c r="X21" s="47">
        <f>26250000+12366667</f>
        <v>38616667</v>
      </c>
      <c r="Y21" s="46">
        <v>45185</v>
      </c>
      <c r="Z21" s="48" t="s">
        <v>109</v>
      </c>
      <c r="AA21" s="49"/>
      <c r="AB21" s="48"/>
      <c r="AC21" s="26"/>
      <c r="AD21" s="48"/>
      <c r="AE21" s="49"/>
      <c r="AF21" s="49">
        <v>45182</v>
      </c>
      <c r="AG21" s="45">
        <v>12366667</v>
      </c>
      <c r="AH21" s="50">
        <f>U21+AG21</f>
        <v>38616667</v>
      </c>
      <c r="AI21" s="48" t="s">
        <v>278</v>
      </c>
      <c r="AJ21" s="49">
        <v>45184</v>
      </c>
      <c r="AK21" s="49">
        <v>45182</v>
      </c>
      <c r="AL21" s="42" t="s">
        <v>281</v>
      </c>
      <c r="AM21" s="48" t="s">
        <v>278</v>
      </c>
      <c r="AN21" s="49">
        <v>45184</v>
      </c>
      <c r="AO21" s="38"/>
      <c r="AP21" s="38"/>
      <c r="AQ21" s="38"/>
      <c r="AR21" s="38"/>
      <c r="AS21" s="38"/>
      <c r="AT21" s="51"/>
      <c r="AU21" s="52"/>
      <c r="AV21" s="53">
        <v>45291</v>
      </c>
      <c r="AW21" s="41" t="s">
        <v>56</v>
      </c>
      <c r="AX21" s="40" t="s">
        <v>271</v>
      </c>
      <c r="AY21" s="54">
        <v>20235920001123</v>
      </c>
    </row>
    <row r="22" spans="2:51" s="37" customFormat="1" ht="26.25" x14ac:dyDescent="0.25">
      <c r="B22" s="38">
        <v>21</v>
      </c>
      <c r="C22" s="39">
        <v>2023</v>
      </c>
      <c r="D22" s="40" t="s">
        <v>282</v>
      </c>
      <c r="E22" s="41" t="s">
        <v>139</v>
      </c>
      <c r="F22" s="40" t="s">
        <v>97</v>
      </c>
      <c r="G22" s="40" t="s">
        <v>98</v>
      </c>
      <c r="H22" s="41" t="s">
        <v>283</v>
      </c>
      <c r="I22" s="25" t="s">
        <v>284</v>
      </c>
      <c r="J22" s="42" t="s">
        <v>285</v>
      </c>
      <c r="K22" s="42" t="s">
        <v>286</v>
      </c>
      <c r="L22" s="26">
        <v>52228310</v>
      </c>
      <c r="M22" s="43" t="s">
        <v>287</v>
      </c>
      <c r="N22" s="44" t="s">
        <v>268</v>
      </c>
      <c r="O22" s="45">
        <f>159000000+19080000</f>
        <v>178080000</v>
      </c>
      <c r="P22" s="44">
        <v>44952</v>
      </c>
      <c r="Q22" s="43" t="s">
        <v>288</v>
      </c>
      <c r="R22" s="46">
        <v>44952</v>
      </c>
      <c r="S22" s="45" t="s">
        <v>162</v>
      </c>
      <c r="T22" s="46">
        <v>44956</v>
      </c>
      <c r="U22" s="45">
        <v>39750000</v>
      </c>
      <c r="V22" s="43" t="s">
        <v>289</v>
      </c>
      <c r="W22" s="44" t="s">
        <v>290</v>
      </c>
      <c r="X22" s="47">
        <f>39750000+19080000</f>
        <v>58830000</v>
      </c>
      <c r="Y22" s="46">
        <v>45183</v>
      </c>
      <c r="Z22" s="48" t="s">
        <v>109</v>
      </c>
      <c r="AA22" s="49"/>
      <c r="AB22" s="48"/>
      <c r="AC22" s="26"/>
      <c r="AD22" s="48"/>
      <c r="AE22" s="49"/>
      <c r="AF22" s="49">
        <v>45183</v>
      </c>
      <c r="AG22" s="45">
        <v>19080000</v>
      </c>
      <c r="AH22" s="50">
        <f>U22+AG22</f>
        <v>58830000</v>
      </c>
      <c r="AI22" s="48" t="s">
        <v>288</v>
      </c>
      <c r="AJ22" s="49">
        <v>45187</v>
      </c>
      <c r="AK22" s="49">
        <v>45183</v>
      </c>
      <c r="AL22" s="42" t="s">
        <v>237</v>
      </c>
      <c r="AM22" s="48" t="s">
        <v>288</v>
      </c>
      <c r="AN22" s="49">
        <v>45187</v>
      </c>
      <c r="AO22" s="38"/>
      <c r="AP22" s="38"/>
      <c r="AQ22" s="38"/>
      <c r="AR22" s="38"/>
      <c r="AS22" s="38"/>
      <c r="AT22" s="51"/>
      <c r="AU22" s="52"/>
      <c r="AV22" s="53">
        <v>45292</v>
      </c>
      <c r="AW22" s="41" t="s">
        <v>56</v>
      </c>
      <c r="AX22" s="40" t="s">
        <v>145</v>
      </c>
      <c r="AY22" s="54">
        <v>20235920001903</v>
      </c>
    </row>
    <row r="23" spans="2:51" s="37" customFormat="1" ht="26.25" x14ac:dyDescent="0.25">
      <c r="B23" s="38">
        <v>22</v>
      </c>
      <c r="C23" s="39">
        <v>2023</v>
      </c>
      <c r="D23" s="40" t="s">
        <v>291</v>
      </c>
      <c r="E23" s="41" t="s">
        <v>96</v>
      </c>
      <c r="F23" s="40" t="s">
        <v>97</v>
      </c>
      <c r="G23" s="40" t="s">
        <v>98</v>
      </c>
      <c r="H23" s="41" t="s">
        <v>292</v>
      </c>
      <c r="I23" s="25" t="s">
        <v>293</v>
      </c>
      <c r="J23" s="42" t="s">
        <v>285</v>
      </c>
      <c r="K23" s="42" t="s">
        <v>294</v>
      </c>
      <c r="L23" s="26">
        <v>52963263</v>
      </c>
      <c r="M23" s="43" t="s">
        <v>295</v>
      </c>
      <c r="N23" s="44" t="s">
        <v>223</v>
      </c>
      <c r="O23" s="45">
        <f>79500000+19786667</f>
        <v>99286667</v>
      </c>
      <c r="P23" s="44">
        <v>44952</v>
      </c>
      <c r="Q23" s="43" t="s">
        <v>296</v>
      </c>
      <c r="R23" s="46">
        <v>44952</v>
      </c>
      <c r="S23" s="45" t="s">
        <v>162</v>
      </c>
      <c r="T23" s="46">
        <v>44953</v>
      </c>
      <c r="U23" s="45">
        <v>39750000</v>
      </c>
      <c r="V23" s="43" t="s">
        <v>297</v>
      </c>
      <c r="W23" s="44" t="s">
        <v>262</v>
      </c>
      <c r="X23" s="47">
        <f>39750000+19786667</f>
        <v>59536667</v>
      </c>
      <c r="Y23" s="46">
        <v>45180</v>
      </c>
      <c r="Z23" s="48" t="s">
        <v>109</v>
      </c>
      <c r="AA23" s="49">
        <v>44987</v>
      </c>
      <c r="AB23" s="48" t="s">
        <v>298</v>
      </c>
      <c r="AC23" s="26">
        <v>51910897</v>
      </c>
      <c r="AD23" s="48" t="s">
        <v>299</v>
      </c>
      <c r="AE23" s="49">
        <v>44991</v>
      </c>
      <c r="AF23" s="49">
        <v>45180</v>
      </c>
      <c r="AG23" s="45">
        <v>19786667</v>
      </c>
      <c r="AH23" s="50">
        <f>U23+AG23</f>
        <v>59536667</v>
      </c>
      <c r="AI23" s="48" t="s">
        <v>299</v>
      </c>
      <c r="AJ23" s="49">
        <v>45181</v>
      </c>
      <c r="AK23" s="49">
        <v>45180</v>
      </c>
      <c r="AL23" s="42" t="s">
        <v>165</v>
      </c>
      <c r="AM23" s="48" t="s">
        <v>299</v>
      </c>
      <c r="AN23" s="49">
        <v>45181</v>
      </c>
      <c r="AO23" s="38"/>
      <c r="AP23" s="38"/>
      <c r="AQ23" s="38"/>
      <c r="AR23" s="38"/>
      <c r="AS23" s="38"/>
      <c r="AT23" s="51"/>
      <c r="AU23" s="52"/>
      <c r="AV23" s="53">
        <v>45291</v>
      </c>
      <c r="AW23" s="41" t="s">
        <v>137</v>
      </c>
      <c r="AX23" s="40" t="s">
        <v>271</v>
      </c>
      <c r="AY23" s="54">
        <v>20235920002503</v>
      </c>
    </row>
    <row r="24" spans="2:51" s="37" customFormat="1" ht="26.25" x14ac:dyDescent="0.25">
      <c r="B24" s="38">
        <v>23</v>
      </c>
      <c r="C24" s="39">
        <v>2023</v>
      </c>
      <c r="D24" s="40" t="s">
        <v>300</v>
      </c>
      <c r="E24" s="41" t="s">
        <v>153</v>
      </c>
      <c r="F24" s="40" t="s">
        <v>97</v>
      </c>
      <c r="G24" s="40" t="s">
        <v>98</v>
      </c>
      <c r="H24" s="41" t="s">
        <v>301</v>
      </c>
      <c r="I24" s="25" t="s">
        <v>302</v>
      </c>
      <c r="J24" s="42" t="s">
        <v>285</v>
      </c>
      <c r="K24" s="42" t="s">
        <v>303</v>
      </c>
      <c r="L24" s="26">
        <v>1026253550</v>
      </c>
      <c r="M24" s="43" t="s">
        <v>304</v>
      </c>
      <c r="N24" s="44" t="s">
        <v>305</v>
      </c>
      <c r="O24" s="45">
        <f>39750000+19080000</f>
        <v>58830000</v>
      </c>
      <c r="P24" s="44">
        <v>44953</v>
      </c>
      <c r="Q24" s="43" t="s">
        <v>306</v>
      </c>
      <c r="R24" s="46">
        <v>44955</v>
      </c>
      <c r="S24" s="45" t="s">
        <v>162</v>
      </c>
      <c r="T24" s="46">
        <v>44956</v>
      </c>
      <c r="U24" s="45">
        <v>39750000</v>
      </c>
      <c r="V24" s="43" t="s">
        <v>307</v>
      </c>
      <c r="W24" s="44" t="s">
        <v>308</v>
      </c>
      <c r="X24" s="47">
        <f>39750000+19080000</f>
        <v>58830000</v>
      </c>
      <c r="Y24" s="46">
        <v>45183</v>
      </c>
      <c r="Z24" s="48" t="s">
        <v>109</v>
      </c>
      <c r="AA24" s="49"/>
      <c r="AB24" s="48"/>
      <c r="AC24" s="26"/>
      <c r="AD24" s="48"/>
      <c r="AE24" s="49"/>
      <c r="AF24" s="49">
        <v>45183</v>
      </c>
      <c r="AG24" s="45">
        <v>19080000</v>
      </c>
      <c r="AH24" s="50">
        <f>U24+AG24</f>
        <v>58830000</v>
      </c>
      <c r="AI24" s="48" t="s">
        <v>306</v>
      </c>
      <c r="AJ24" s="49">
        <v>45188</v>
      </c>
      <c r="AK24" s="49">
        <v>45183</v>
      </c>
      <c r="AL24" s="42" t="s">
        <v>237</v>
      </c>
      <c r="AM24" s="48" t="s">
        <v>306</v>
      </c>
      <c r="AN24" s="49">
        <v>45188</v>
      </c>
      <c r="AO24" s="38"/>
      <c r="AP24" s="38"/>
      <c r="AQ24" s="38"/>
      <c r="AR24" s="38"/>
      <c r="AS24" s="38"/>
      <c r="AT24" s="51"/>
      <c r="AU24" s="52"/>
      <c r="AV24" s="53">
        <v>45292</v>
      </c>
      <c r="AW24" s="41" t="s">
        <v>56</v>
      </c>
      <c r="AX24" s="40" t="s">
        <v>309</v>
      </c>
      <c r="AY24" s="54">
        <v>20235920004783</v>
      </c>
    </row>
    <row r="25" spans="2:51" s="37" customFormat="1" ht="26.25" x14ac:dyDescent="0.25">
      <c r="B25" s="38">
        <v>24</v>
      </c>
      <c r="C25" s="39">
        <v>2023</v>
      </c>
      <c r="D25" s="40" t="s">
        <v>310</v>
      </c>
      <c r="E25" s="41" t="s">
        <v>153</v>
      </c>
      <c r="F25" s="40" t="s">
        <v>97</v>
      </c>
      <c r="G25" s="40" t="s">
        <v>98</v>
      </c>
      <c r="H25" s="41" t="s">
        <v>311</v>
      </c>
      <c r="I25" s="25" t="s">
        <v>312</v>
      </c>
      <c r="J25" s="42" t="s">
        <v>285</v>
      </c>
      <c r="K25" s="42" t="s">
        <v>313</v>
      </c>
      <c r="L25" s="26">
        <v>20800560</v>
      </c>
      <c r="M25" s="43" t="s">
        <v>314</v>
      </c>
      <c r="N25" s="44" t="s">
        <v>305</v>
      </c>
      <c r="O25" s="45">
        <f>45000000+21600000</f>
        <v>66600000</v>
      </c>
      <c r="P25" s="44">
        <v>44953</v>
      </c>
      <c r="Q25" s="43" t="s">
        <v>315</v>
      </c>
      <c r="R25" s="46">
        <v>44953</v>
      </c>
      <c r="S25" s="45" t="s">
        <v>162</v>
      </c>
      <c r="T25" s="46">
        <v>44956</v>
      </c>
      <c r="U25" s="45">
        <v>45000000</v>
      </c>
      <c r="V25" s="43" t="s">
        <v>316</v>
      </c>
      <c r="W25" s="44" t="s">
        <v>270</v>
      </c>
      <c r="X25" s="47">
        <f>45000000+21600000</f>
        <v>66600000</v>
      </c>
      <c r="Y25" s="46">
        <v>45183</v>
      </c>
      <c r="Z25" s="48" t="s">
        <v>109</v>
      </c>
      <c r="AA25" s="49"/>
      <c r="AB25" s="48"/>
      <c r="AC25" s="26"/>
      <c r="AD25" s="48"/>
      <c r="AE25" s="49"/>
      <c r="AF25" s="49">
        <v>45183</v>
      </c>
      <c r="AG25" s="45">
        <v>21600000</v>
      </c>
      <c r="AH25" s="50">
        <f>U25+AG25</f>
        <v>66600000</v>
      </c>
      <c r="AI25" s="48" t="s">
        <v>315</v>
      </c>
      <c r="AJ25" s="49">
        <v>45188</v>
      </c>
      <c r="AK25" s="49">
        <v>45183</v>
      </c>
      <c r="AL25" s="42" t="s">
        <v>237</v>
      </c>
      <c r="AM25" s="48" t="s">
        <v>315</v>
      </c>
      <c r="AN25" s="49">
        <v>45188</v>
      </c>
      <c r="AO25" s="38"/>
      <c r="AP25" s="38"/>
      <c r="AQ25" s="38"/>
      <c r="AR25" s="38"/>
      <c r="AS25" s="38"/>
      <c r="AT25" s="51"/>
      <c r="AU25" s="52"/>
      <c r="AV25" s="53">
        <v>45292</v>
      </c>
      <c r="AW25" s="41" t="s">
        <v>56</v>
      </c>
      <c r="AX25" s="40" t="s">
        <v>231</v>
      </c>
      <c r="AY25" s="54">
        <v>20235920009003</v>
      </c>
    </row>
    <row r="26" spans="2:51" s="37" customFormat="1" ht="26.25" x14ac:dyDescent="0.25">
      <c r="B26" s="38">
        <v>25</v>
      </c>
      <c r="C26" s="39">
        <v>2023</v>
      </c>
      <c r="D26" s="40" t="s">
        <v>317</v>
      </c>
      <c r="E26" s="41" t="s">
        <v>153</v>
      </c>
      <c r="F26" s="40" t="s">
        <v>97</v>
      </c>
      <c r="G26" s="40" t="s">
        <v>98</v>
      </c>
      <c r="H26" s="41" t="s">
        <v>318</v>
      </c>
      <c r="I26" s="25" t="s">
        <v>319</v>
      </c>
      <c r="J26" s="42" t="s">
        <v>285</v>
      </c>
      <c r="K26" s="42" t="s">
        <v>320</v>
      </c>
      <c r="L26" s="26">
        <v>9022215</v>
      </c>
      <c r="M26" s="43" t="s">
        <v>321</v>
      </c>
      <c r="N26" s="44" t="s">
        <v>305</v>
      </c>
      <c r="O26" s="45">
        <f>46500000+22320000</f>
        <v>68820000</v>
      </c>
      <c r="P26" s="44">
        <v>44952</v>
      </c>
      <c r="Q26" s="43" t="s">
        <v>322</v>
      </c>
      <c r="R26" s="46">
        <v>44953</v>
      </c>
      <c r="S26" s="45" t="s">
        <v>162</v>
      </c>
      <c r="T26" s="46">
        <v>44956</v>
      </c>
      <c r="U26" s="45">
        <v>46500000</v>
      </c>
      <c r="V26" s="43" t="s">
        <v>323</v>
      </c>
      <c r="W26" s="44" t="s">
        <v>270</v>
      </c>
      <c r="X26" s="47">
        <f>46500000+22320000</f>
        <v>68820000</v>
      </c>
      <c r="Y26" s="46">
        <v>45183</v>
      </c>
      <c r="Z26" s="48" t="s">
        <v>109</v>
      </c>
      <c r="AA26" s="49"/>
      <c r="AB26" s="48"/>
      <c r="AC26" s="26"/>
      <c r="AD26" s="48"/>
      <c r="AE26" s="49"/>
      <c r="AF26" s="49">
        <v>45183</v>
      </c>
      <c r="AG26" s="45">
        <v>22320000</v>
      </c>
      <c r="AH26" s="50">
        <f>U26+AG26</f>
        <v>68820000</v>
      </c>
      <c r="AI26" s="48" t="s">
        <v>322</v>
      </c>
      <c r="AJ26" s="49">
        <v>45187</v>
      </c>
      <c r="AK26" s="49">
        <v>45183</v>
      </c>
      <c r="AL26" s="42" t="s">
        <v>237</v>
      </c>
      <c r="AM26" s="48" t="s">
        <v>322</v>
      </c>
      <c r="AN26" s="49">
        <v>45187</v>
      </c>
      <c r="AO26" s="38"/>
      <c r="AP26" s="38"/>
      <c r="AQ26" s="38"/>
      <c r="AR26" s="38"/>
      <c r="AS26" s="38"/>
      <c r="AT26" s="51"/>
      <c r="AU26" s="52"/>
      <c r="AV26" s="53">
        <v>45292</v>
      </c>
      <c r="AW26" s="41" t="s">
        <v>56</v>
      </c>
      <c r="AX26" s="40" t="s">
        <v>184</v>
      </c>
      <c r="AY26" s="54">
        <v>20235920001663</v>
      </c>
    </row>
    <row r="27" spans="2:51" s="37" customFormat="1" ht="26.25" x14ac:dyDescent="0.25">
      <c r="B27" s="38">
        <v>26</v>
      </c>
      <c r="C27" s="39">
        <v>2023</v>
      </c>
      <c r="D27" s="40" t="s">
        <v>325</v>
      </c>
      <c r="E27" s="41" t="s">
        <v>128</v>
      </c>
      <c r="F27" s="40" t="s">
        <v>97</v>
      </c>
      <c r="G27" s="40" t="s">
        <v>98</v>
      </c>
      <c r="H27" s="41" t="s">
        <v>326</v>
      </c>
      <c r="I27" s="25" t="s">
        <v>327</v>
      </c>
      <c r="J27" s="42" t="s">
        <v>285</v>
      </c>
      <c r="K27" s="42" t="s">
        <v>328</v>
      </c>
      <c r="L27" s="26">
        <v>1075220639</v>
      </c>
      <c r="M27" s="43" t="s">
        <v>329</v>
      </c>
      <c r="N27" s="44" t="s">
        <v>330</v>
      </c>
      <c r="O27" s="45">
        <f>90000000+21400000</f>
        <v>111400000</v>
      </c>
      <c r="P27" s="44">
        <v>44953</v>
      </c>
      <c r="Q27" s="43" t="s">
        <v>331</v>
      </c>
      <c r="R27" s="46">
        <v>44956</v>
      </c>
      <c r="S27" s="45" t="s">
        <v>162</v>
      </c>
      <c r="T27" s="46">
        <v>44958</v>
      </c>
      <c r="U27" s="45">
        <v>45000000</v>
      </c>
      <c r="V27" s="43" t="s">
        <v>332</v>
      </c>
      <c r="W27" s="44" t="s">
        <v>333</v>
      </c>
      <c r="X27" s="47">
        <f>45000000+21400000</f>
        <v>66400000</v>
      </c>
      <c r="Y27" s="46">
        <v>45184</v>
      </c>
      <c r="Z27" s="48" t="s">
        <v>109</v>
      </c>
      <c r="AA27" s="49">
        <v>45113</v>
      </c>
      <c r="AB27" s="48" t="s">
        <v>334</v>
      </c>
      <c r="AC27" s="26">
        <v>21134926</v>
      </c>
      <c r="AD27" s="48" t="s">
        <v>335</v>
      </c>
      <c r="AE27" s="49">
        <v>45118</v>
      </c>
      <c r="AF27" s="49">
        <v>45184</v>
      </c>
      <c r="AG27" s="45">
        <v>21400000</v>
      </c>
      <c r="AH27" s="50">
        <f>U27+AG27</f>
        <v>66400000</v>
      </c>
      <c r="AI27" s="48" t="s">
        <v>335</v>
      </c>
      <c r="AJ27" s="49">
        <v>45187</v>
      </c>
      <c r="AK27" s="49">
        <v>45184</v>
      </c>
      <c r="AL27" s="42" t="s">
        <v>336</v>
      </c>
      <c r="AM27" s="48" t="s">
        <v>335</v>
      </c>
      <c r="AN27" s="49">
        <v>45187</v>
      </c>
      <c r="AO27" s="38"/>
      <c r="AP27" s="38"/>
      <c r="AQ27" s="38"/>
      <c r="AR27" s="38"/>
      <c r="AS27" s="38"/>
      <c r="AT27" s="51"/>
      <c r="AU27" s="52"/>
      <c r="AV27" s="53">
        <v>45291</v>
      </c>
      <c r="AW27" s="41" t="s">
        <v>137</v>
      </c>
      <c r="AX27" s="40" t="s">
        <v>337</v>
      </c>
      <c r="AY27" s="54">
        <v>20235920002633</v>
      </c>
    </row>
    <row r="28" spans="2:51" s="37" customFormat="1" ht="15" x14ac:dyDescent="0.25">
      <c r="B28" s="38">
        <v>27</v>
      </c>
      <c r="C28" s="39">
        <v>2023</v>
      </c>
      <c r="D28" s="40" t="s">
        <v>338</v>
      </c>
      <c r="E28" s="41" t="s">
        <v>128</v>
      </c>
      <c r="F28" s="40" t="s">
        <v>97</v>
      </c>
      <c r="G28" s="40" t="s">
        <v>98</v>
      </c>
      <c r="H28" s="41" t="s">
        <v>339</v>
      </c>
      <c r="I28" s="25" t="s">
        <v>340</v>
      </c>
      <c r="J28" s="42" t="s">
        <v>285</v>
      </c>
      <c r="K28" s="42" t="s">
        <v>341</v>
      </c>
      <c r="L28" s="26">
        <v>51744634</v>
      </c>
      <c r="M28" s="43" t="s">
        <v>342</v>
      </c>
      <c r="N28" s="44">
        <v>44944</v>
      </c>
      <c r="O28" s="45">
        <v>96000000</v>
      </c>
      <c r="P28" s="44">
        <v>44953</v>
      </c>
      <c r="Q28" s="43" t="s">
        <v>343</v>
      </c>
      <c r="R28" s="46">
        <v>44956</v>
      </c>
      <c r="S28" s="45" t="s">
        <v>344</v>
      </c>
      <c r="T28" s="46">
        <v>44958</v>
      </c>
      <c r="U28" s="45">
        <v>24000000</v>
      </c>
      <c r="V28" s="43">
        <v>891</v>
      </c>
      <c r="W28" s="44">
        <v>44956</v>
      </c>
      <c r="X28" s="47">
        <v>24000000</v>
      </c>
      <c r="Y28" s="46">
        <v>45076</v>
      </c>
      <c r="Z28" s="48" t="s">
        <v>120</v>
      </c>
      <c r="AA28" s="49" t="s">
        <v>121</v>
      </c>
      <c r="AB28" s="49" t="s">
        <v>121</v>
      </c>
      <c r="AC28" s="26" t="s">
        <v>121</v>
      </c>
      <c r="AD28" s="49" t="s">
        <v>121</v>
      </c>
      <c r="AE28" s="49" t="s">
        <v>121</v>
      </c>
      <c r="AF28" s="49" t="s">
        <v>121</v>
      </c>
      <c r="AG28" s="49" t="s">
        <v>121</v>
      </c>
      <c r="AH28" s="49" t="s">
        <v>121</v>
      </c>
      <c r="AI28" s="49" t="s">
        <v>121</v>
      </c>
      <c r="AJ28" s="49" t="s">
        <v>121</v>
      </c>
      <c r="AK28" s="49" t="s">
        <v>121</v>
      </c>
      <c r="AL28" s="49" t="s">
        <v>121</v>
      </c>
      <c r="AM28" s="49" t="s">
        <v>121</v>
      </c>
      <c r="AN28" s="49" t="s">
        <v>121</v>
      </c>
      <c r="AO28" s="49" t="s">
        <v>121</v>
      </c>
      <c r="AP28" s="49" t="s">
        <v>121</v>
      </c>
      <c r="AQ28" s="49" t="s">
        <v>121</v>
      </c>
      <c r="AR28" s="49" t="s">
        <v>121</v>
      </c>
      <c r="AS28" s="49" t="s">
        <v>121</v>
      </c>
      <c r="AT28" s="49" t="s">
        <v>121</v>
      </c>
      <c r="AU28" s="49" t="s">
        <v>121</v>
      </c>
      <c r="AV28" s="49" t="s">
        <v>121</v>
      </c>
      <c r="AW28" s="41" t="s">
        <v>122</v>
      </c>
      <c r="AX28" s="40" t="s">
        <v>345</v>
      </c>
      <c r="AY28" s="54">
        <v>20235920003383</v>
      </c>
    </row>
    <row r="29" spans="2:51" s="37" customFormat="1" ht="26.25" x14ac:dyDescent="0.25">
      <c r="B29" s="38">
        <v>28</v>
      </c>
      <c r="C29" s="39">
        <v>2023</v>
      </c>
      <c r="D29" s="40" t="s">
        <v>347</v>
      </c>
      <c r="E29" s="41" t="s">
        <v>139</v>
      </c>
      <c r="F29" s="40" t="s">
        <v>97</v>
      </c>
      <c r="G29" s="40" t="s">
        <v>98</v>
      </c>
      <c r="H29" s="41" t="s">
        <v>348</v>
      </c>
      <c r="I29" s="25" t="s">
        <v>349</v>
      </c>
      <c r="J29" s="42" t="s">
        <v>285</v>
      </c>
      <c r="K29" s="42" t="s">
        <v>350</v>
      </c>
      <c r="L29" s="26">
        <v>51744634</v>
      </c>
      <c r="M29" s="43" t="s">
        <v>351</v>
      </c>
      <c r="N29" s="44" t="s">
        <v>352</v>
      </c>
      <c r="O29" s="45">
        <f>270000000+21600000</f>
        <v>291600000</v>
      </c>
      <c r="P29" s="44">
        <v>44953</v>
      </c>
      <c r="Q29" s="43" t="s">
        <v>353</v>
      </c>
      <c r="R29" s="46">
        <v>44956</v>
      </c>
      <c r="S29" s="45" t="s">
        <v>162</v>
      </c>
      <c r="T29" s="46">
        <v>44956</v>
      </c>
      <c r="U29" s="45">
        <v>45000000</v>
      </c>
      <c r="V29" s="43" t="s">
        <v>354</v>
      </c>
      <c r="W29" s="44" t="s">
        <v>355</v>
      </c>
      <c r="X29" s="47">
        <f>45000000+21600000</f>
        <v>66600000</v>
      </c>
      <c r="Y29" s="46">
        <v>45183</v>
      </c>
      <c r="Z29" s="48" t="s">
        <v>109</v>
      </c>
      <c r="AA29" s="49"/>
      <c r="AB29" s="48"/>
      <c r="AC29" s="26"/>
      <c r="AD29" s="48"/>
      <c r="AE29" s="49"/>
      <c r="AF29" s="49">
        <v>45183</v>
      </c>
      <c r="AG29" s="45">
        <v>21600000</v>
      </c>
      <c r="AH29" s="50">
        <f>U29+AG29</f>
        <v>66600000</v>
      </c>
      <c r="AI29" s="48" t="s">
        <v>356</v>
      </c>
      <c r="AJ29" s="49">
        <v>45183</v>
      </c>
      <c r="AK29" s="49">
        <v>45183</v>
      </c>
      <c r="AL29" s="42" t="s">
        <v>237</v>
      </c>
      <c r="AM29" s="48" t="s">
        <v>356</v>
      </c>
      <c r="AN29" s="49">
        <v>45183</v>
      </c>
      <c r="AO29" s="38"/>
      <c r="AP29" s="38"/>
      <c r="AQ29" s="38"/>
      <c r="AR29" s="38"/>
      <c r="AS29" s="38"/>
      <c r="AT29" s="51"/>
      <c r="AU29" s="52"/>
      <c r="AV29" s="53">
        <v>45291</v>
      </c>
      <c r="AW29" s="41" t="s">
        <v>56</v>
      </c>
      <c r="AX29" s="40" t="s">
        <v>145</v>
      </c>
      <c r="AY29" s="54">
        <v>20235920001923</v>
      </c>
    </row>
    <row r="30" spans="2:51" s="37" customFormat="1" ht="26.25" x14ac:dyDescent="0.25">
      <c r="B30" s="38">
        <v>29</v>
      </c>
      <c r="C30" s="39">
        <v>2023</v>
      </c>
      <c r="D30" s="40" t="s">
        <v>357</v>
      </c>
      <c r="E30" s="41" t="s">
        <v>139</v>
      </c>
      <c r="F30" s="40" t="s">
        <v>97</v>
      </c>
      <c r="G30" s="40" t="s">
        <v>98</v>
      </c>
      <c r="H30" s="41" t="s">
        <v>358</v>
      </c>
      <c r="I30" s="25" t="s">
        <v>359</v>
      </c>
      <c r="J30" s="42" t="s">
        <v>285</v>
      </c>
      <c r="K30" s="42" t="s">
        <v>360</v>
      </c>
      <c r="L30" s="26">
        <v>5831620</v>
      </c>
      <c r="M30" s="43" t="s">
        <v>361</v>
      </c>
      <c r="N30" s="44" t="s">
        <v>352</v>
      </c>
      <c r="O30" s="45">
        <f>270000000+21600000</f>
        <v>291600000</v>
      </c>
      <c r="P30" s="44">
        <v>44953</v>
      </c>
      <c r="Q30" s="43" t="s">
        <v>362</v>
      </c>
      <c r="R30" s="46">
        <v>44955</v>
      </c>
      <c r="S30" s="45" t="s">
        <v>162</v>
      </c>
      <c r="T30" s="46">
        <v>44956</v>
      </c>
      <c r="U30" s="45">
        <v>45000000</v>
      </c>
      <c r="V30" s="43" t="s">
        <v>363</v>
      </c>
      <c r="W30" s="44" t="s">
        <v>308</v>
      </c>
      <c r="X30" s="47">
        <f>45000000+21600000</f>
        <v>66600000</v>
      </c>
      <c r="Y30" s="46">
        <v>45183</v>
      </c>
      <c r="Z30" s="48" t="s">
        <v>109</v>
      </c>
      <c r="AA30" s="49"/>
      <c r="AB30" s="48"/>
      <c r="AC30" s="26"/>
      <c r="AD30" s="48"/>
      <c r="AE30" s="49"/>
      <c r="AF30" s="49">
        <v>45183</v>
      </c>
      <c r="AG30" s="45">
        <v>21600000</v>
      </c>
      <c r="AH30" s="50">
        <f>U30+AG30</f>
        <v>66600000</v>
      </c>
      <c r="AI30" s="48" t="s">
        <v>362</v>
      </c>
      <c r="AJ30" s="49">
        <v>45189</v>
      </c>
      <c r="AK30" s="49">
        <v>45183</v>
      </c>
      <c r="AL30" s="42" t="s">
        <v>237</v>
      </c>
      <c r="AM30" s="48" t="s">
        <v>362</v>
      </c>
      <c r="AN30" s="49">
        <v>45189</v>
      </c>
      <c r="AO30" s="38"/>
      <c r="AP30" s="38"/>
      <c r="AQ30" s="38"/>
      <c r="AR30" s="38"/>
      <c r="AS30" s="38"/>
      <c r="AT30" s="51"/>
      <c r="AU30" s="52"/>
      <c r="AV30" s="53">
        <v>45291</v>
      </c>
      <c r="AW30" s="41" t="s">
        <v>56</v>
      </c>
      <c r="AX30" s="40" t="s">
        <v>145</v>
      </c>
      <c r="AY30" s="54">
        <v>20235920001923</v>
      </c>
    </row>
    <row r="31" spans="2:51" s="37" customFormat="1" ht="17.25" customHeight="1" x14ac:dyDescent="0.25">
      <c r="B31" s="38">
        <v>30</v>
      </c>
      <c r="C31" s="39">
        <v>2023</v>
      </c>
      <c r="D31" s="40" t="s">
        <v>364</v>
      </c>
      <c r="E31" s="41" t="s">
        <v>113</v>
      </c>
      <c r="F31" s="40" t="s">
        <v>97</v>
      </c>
      <c r="G31" s="40" t="s">
        <v>98</v>
      </c>
      <c r="H31" s="41" t="s">
        <v>365</v>
      </c>
      <c r="I31" s="25" t="s">
        <v>366</v>
      </c>
      <c r="J31" s="42" t="s">
        <v>285</v>
      </c>
      <c r="K31" s="42" t="s">
        <v>367</v>
      </c>
      <c r="L31" s="26">
        <v>55194814</v>
      </c>
      <c r="M31" s="43" t="s">
        <v>368</v>
      </c>
      <c r="N31" s="44" t="s">
        <v>369</v>
      </c>
      <c r="O31" s="45">
        <f>52830000+24966667</f>
        <v>77796667</v>
      </c>
      <c r="P31" s="44">
        <v>44952</v>
      </c>
      <c r="Q31" s="43" t="s">
        <v>370</v>
      </c>
      <c r="R31" s="46">
        <v>44953</v>
      </c>
      <c r="S31" s="45" t="s">
        <v>162</v>
      </c>
      <c r="T31" s="46">
        <v>44958</v>
      </c>
      <c r="U31" s="45">
        <v>52830000</v>
      </c>
      <c r="V31" s="43" t="s">
        <v>371</v>
      </c>
      <c r="W31" s="44" t="s">
        <v>372</v>
      </c>
      <c r="X31" s="47">
        <f>52830000+24966667</f>
        <v>77796667</v>
      </c>
      <c r="Y31" s="46">
        <v>45184</v>
      </c>
      <c r="Z31" s="48" t="s">
        <v>109</v>
      </c>
      <c r="AA31" s="49"/>
      <c r="AB31" s="48"/>
      <c r="AC31" s="26"/>
      <c r="AD31" s="48"/>
      <c r="AE31" s="49"/>
      <c r="AF31" s="49">
        <v>45183</v>
      </c>
      <c r="AG31" s="45">
        <v>24966667</v>
      </c>
      <c r="AH31" s="50">
        <f>U31+AG31</f>
        <v>77796667</v>
      </c>
      <c r="AI31" s="48" t="s">
        <v>370</v>
      </c>
      <c r="AJ31" s="49">
        <v>45184</v>
      </c>
      <c r="AK31" s="49">
        <v>45183</v>
      </c>
      <c r="AL31" s="42" t="s">
        <v>336</v>
      </c>
      <c r="AM31" s="48" t="s">
        <v>370</v>
      </c>
      <c r="AN31" s="49">
        <v>45184</v>
      </c>
      <c r="AO31" s="38"/>
      <c r="AP31" s="38"/>
      <c r="AQ31" s="38"/>
      <c r="AR31" s="38"/>
      <c r="AS31" s="38"/>
      <c r="AT31" s="51"/>
      <c r="AU31" s="52"/>
      <c r="AV31" s="53">
        <v>45291</v>
      </c>
      <c r="AW31" s="41" t="s">
        <v>56</v>
      </c>
      <c r="AX31" s="40" t="s">
        <v>111</v>
      </c>
      <c r="AY31" s="54">
        <v>20235920001483</v>
      </c>
    </row>
    <row r="32" spans="2:51" s="37" customFormat="1" ht="17.25" customHeight="1" x14ac:dyDescent="0.25">
      <c r="B32" s="38">
        <v>31</v>
      </c>
      <c r="C32" s="39">
        <v>2023</v>
      </c>
      <c r="D32" s="40" t="s">
        <v>373</v>
      </c>
      <c r="E32" s="41" t="s">
        <v>128</v>
      </c>
      <c r="F32" s="40" t="s">
        <v>97</v>
      </c>
      <c r="G32" s="40" t="s">
        <v>98</v>
      </c>
      <c r="H32" s="41" t="s">
        <v>374</v>
      </c>
      <c r="I32" s="25" t="s">
        <v>375</v>
      </c>
      <c r="J32" s="42" t="s">
        <v>285</v>
      </c>
      <c r="K32" s="42" t="s">
        <v>376</v>
      </c>
      <c r="L32" s="26">
        <v>1016015853</v>
      </c>
      <c r="M32" s="43" t="s">
        <v>377</v>
      </c>
      <c r="N32" s="44" t="s">
        <v>378</v>
      </c>
      <c r="O32" s="45">
        <f>135000000+21400000</f>
        <v>156400000</v>
      </c>
      <c r="P32" s="44">
        <v>44956</v>
      </c>
      <c r="Q32" s="43" t="s">
        <v>379</v>
      </c>
      <c r="R32" s="46">
        <v>44958</v>
      </c>
      <c r="S32" s="45" t="s">
        <v>162</v>
      </c>
      <c r="T32" s="46">
        <v>44958</v>
      </c>
      <c r="U32" s="45">
        <v>45000000</v>
      </c>
      <c r="V32" s="43" t="s">
        <v>380</v>
      </c>
      <c r="W32" s="44" t="s">
        <v>381</v>
      </c>
      <c r="X32" s="47">
        <f>45000000+21400000</f>
        <v>66400000</v>
      </c>
      <c r="Y32" s="46">
        <v>45184</v>
      </c>
      <c r="Z32" s="48" t="s">
        <v>109</v>
      </c>
      <c r="AA32" s="49"/>
      <c r="AB32" s="48"/>
      <c r="AC32" s="26"/>
      <c r="AD32" s="48"/>
      <c r="AE32" s="49"/>
      <c r="AF32" s="49">
        <v>45184</v>
      </c>
      <c r="AG32" s="45">
        <v>21400000</v>
      </c>
      <c r="AH32" s="50">
        <f>U32+AG32</f>
        <v>66400000</v>
      </c>
      <c r="AI32" s="48" t="s">
        <v>379</v>
      </c>
      <c r="AJ32" s="49">
        <v>45187</v>
      </c>
      <c r="AK32" s="49">
        <v>45184</v>
      </c>
      <c r="AL32" s="42" t="s">
        <v>336</v>
      </c>
      <c r="AM32" s="48" t="s">
        <v>379</v>
      </c>
      <c r="AN32" s="49">
        <v>45187</v>
      </c>
      <c r="AO32" s="38"/>
      <c r="AP32" s="38"/>
      <c r="AQ32" s="38"/>
      <c r="AR32" s="38"/>
      <c r="AS32" s="38"/>
      <c r="AT32" s="51"/>
      <c r="AU32" s="52"/>
      <c r="AV32" s="53">
        <v>45291</v>
      </c>
      <c r="AW32" s="41" t="s">
        <v>56</v>
      </c>
      <c r="AX32" s="40" t="s">
        <v>337</v>
      </c>
      <c r="AY32" s="54">
        <v>20235920002633</v>
      </c>
    </row>
    <row r="33" spans="2:51" s="37" customFormat="1" ht="26.25" x14ac:dyDescent="0.25">
      <c r="B33" s="38">
        <v>32</v>
      </c>
      <c r="C33" s="39">
        <v>2023</v>
      </c>
      <c r="D33" s="40" t="s">
        <v>382</v>
      </c>
      <c r="E33" s="41" t="s">
        <v>153</v>
      </c>
      <c r="F33" s="40" t="s">
        <v>97</v>
      </c>
      <c r="G33" s="40" t="s">
        <v>98</v>
      </c>
      <c r="H33" s="41" t="s">
        <v>383</v>
      </c>
      <c r="I33" s="25" t="s">
        <v>384</v>
      </c>
      <c r="J33" s="42" t="s">
        <v>285</v>
      </c>
      <c r="K33" s="42" t="s">
        <v>385</v>
      </c>
      <c r="L33" s="26">
        <v>39650065</v>
      </c>
      <c r="M33" s="43" t="s">
        <v>386</v>
      </c>
      <c r="N33" s="44" t="s">
        <v>387</v>
      </c>
      <c r="O33" s="45">
        <f>56250000+27000000</f>
        <v>83250000</v>
      </c>
      <c r="P33" s="44">
        <v>44953</v>
      </c>
      <c r="Q33" s="43" t="s">
        <v>388</v>
      </c>
      <c r="R33" s="46">
        <v>44953</v>
      </c>
      <c r="S33" s="45" t="s">
        <v>162</v>
      </c>
      <c r="T33" s="46">
        <v>44956</v>
      </c>
      <c r="U33" s="45">
        <v>56250000</v>
      </c>
      <c r="V33" s="43" t="s">
        <v>389</v>
      </c>
      <c r="W33" s="44" t="s">
        <v>270</v>
      </c>
      <c r="X33" s="47">
        <f>56250000+27000000</f>
        <v>83250000</v>
      </c>
      <c r="Y33" s="46">
        <v>45183</v>
      </c>
      <c r="Z33" s="48" t="s">
        <v>109</v>
      </c>
      <c r="AA33" s="49"/>
      <c r="AB33" s="48"/>
      <c r="AC33" s="26"/>
      <c r="AD33" s="48"/>
      <c r="AE33" s="49"/>
      <c r="AF33" s="49">
        <v>45183</v>
      </c>
      <c r="AG33" s="45">
        <v>27000000</v>
      </c>
      <c r="AH33" s="50">
        <f>U33+AG33</f>
        <v>83250000</v>
      </c>
      <c r="AI33" s="48" t="s">
        <v>388</v>
      </c>
      <c r="AJ33" s="49">
        <v>45188</v>
      </c>
      <c r="AK33" s="49">
        <v>45183</v>
      </c>
      <c r="AL33" s="42" t="s">
        <v>237</v>
      </c>
      <c r="AM33" s="48" t="s">
        <v>388</v>
      </c>
      <c r="AN33" s="49">
        <v>45188</v>
      </c>
      <c r="AO33" s="38"/>
      <c r="AP33" s="38"/>
      <c r="AQ33" s="38"/>
      <c r="AR33" s="38"/>
      <c r="AS33" s="38"/>
      <c r="AT33" s="51"/>
      <c r="AU33" s="52"/>
      <c r="AV33" s="53">
        <v>45291</v>
      </c>
      <c r="AW33" s="41" t="s">
        <v>56</v>
      </c>
      <c r="AX33" s="40" t="s">
        <v>145</v>
      </c>
      <c r="AY33" s="54">
        <v>20235920003053</v>
      </c>
    </row>
    <row r="34" spans="2:51" s="37" customFormat="1" ht="17.25" customHeight="1" x14ac:dyDescent="0.25">
      <c r="B34" s="38">
        <v>33</v>
      </c>
      <c r="C34" s="39">
        <v>2023</v>
      </c>
      <c r="D34" s="40" t="s">
        <v>390</v>
      </c>
      <c r="E34" s="41" t="s">
        <v>155</v>
      </c>
      <c r="F34" s="40" t="s">
        <v>97</v>
      </c>
      <c r="G34" s="40" t="s">
        <v>98</v>
      </c>
      <c r="H34" s="41" t="s">
        <v>391</v>
      </c>
      <c r="I34" s="25" t="s">
        <v>392</v>
      </c>
      <c r="J34" s="42" t="s">
        <v>393</v>
      </c>
      <c r="K34" s="42" t="s">
        <v>394</v>
      </c>
      <c r="L34" s="26">
        <v>1019045244</v>
      </c>
      <c r="M34" s="43" t="s">
        <v>395</v>
      </c>
      <c r="N34" s="44" t="s">
        <v>396</v>
      </c>
      <c r="O34" s="45">
        <f>90000000+21400000</f>
        <v>111400000</v>
      </c>
      <c r="P34" s="44">
        <v>44957</v>
      </c>
      <c r="Q34" s="43" t="s">
        <v>397</v>
      </c>
      <c r="R34" s="46">
        <v>44957</v>
      </c>
      <c r="S34" s="45" t="s">
        <v>162</v>
      </c>
      <c r="T34" s="46">
        <v>44958</v>
      </c>
      <c r="U34" s="45">
        <v>45000000</v>
      </c>
      <c r="V34" s="43" t="s">
        <v>398</v>
      </c>
      <c r="W34" s="44" t="s">
        <v>399</v>
      </c>
      <c r="X34" s="47">
        <f>45000000+21400000</f>
        <v>66400000</v>
      </c>
      <c r="Y34" s="46">
        <v>45184</v>
      </c>
      <c r="Z34" s="48" t="s">
        <v>109</v>
      </c>
      <c r="AA34" s="49"/>
      <c r="AB34" s="48"/>
      <c r="AC34" s="26"/>
      <c r="AD34" s="48"/>
      <c r="AE34" s="49"/>
      <c r="AF34" s="49">
        <v>45183</v>
      </c>
      <c r="AG34" s="45">
        <v>21400000</v>
      </c>
      <c r="AH34" s="50">
        <f>U34+AG34</f>
        <v>66400000</v>
      </c>
      <c r="AI34" s="48" t="s">
        <v>397</v>
      </c>
      <c r="AJ34" s="49">
        <v>45191</v>
      </c>
      <c r="AK34" s="49">
        <v>45183</v>
      </c>
      <c r="AL34" s="42" t="s">
        <v>336</v>
      </c>
      <c r="AM34" s="48" t="s">
        <v>397</v>
      </c>
      <c r="AN34" s="49">
        <v>45191</v>
      </c>
      <c r="AO34" s="38"/>
      <c r="AP34" s="38"/>
      <c r="AQ34" s="38"/>
      <c r="AR34" s="38"/>
      <c r="AS34" s="38"/>
      <c r="AT34" s="51"/>
      <c r="AU34" s="52"/>
      <c r="AV34" s="53">
        <v>45291</v>
      </c>
      <c r="AW34" s="41" t="s">
        <v>56</v>
      </c>
      <c r="AX34" s="40" t="s">
        <v>123</v>
      </c>
      <c r="AY34" s="54">
        <v>20235920001223</v>
      </c>
    </row>
    <row r="35" spans="2:51" s="37" customFormat="1" ht="17.25" customHeight="1" x14ac:dyDescent="0.25">
      <c r="B35" s="38">
        <v>34</v>
      </c>
      <c r="C35" s="39">
        <v>2023</v>
      </c>
      <c r="D35" s="40" t="s">
        <v>400</v>
      </c>
      <c r="E35" s="41" t="s">
        <v>96</v>
      </c>
      <c r="F35" s="40" t="s">
        <v>97</v>
      </c>
      <c r="G35" s="40" t="s">
        <v>98</v>
      </c>
      <c r="H35" s="41" t="s">
        <v>401</v>
      </c>
      <c r="I35" s="25" t="s">
        <v>402</v>
      </c>
      <c r="J35" s="42" t="s">
        <v>403</v>
      </c>
      <c r="K35" s="42" t="s">
        <v>404</v>
      </c>
      <c r="L35" s="26">
        <v>74381892</v>
      </c>
      <c r="M35" s="43">
        <v>915</v>
      </c>
      <c r="N35" s="44">
        <v>44944</v>
      </c>
      <c r="O35" s="45">
        <v>108000000</v>
      </c>
      <c r="P35" s="44">
        <v>44953</v>
      </c>
      <c r="Q35" s="43"/>
      <c r="R35" s="46">
        <v>44956</v>
      </c>
      <c r="S35" s="45" t="s">
        <v>106</v>
      </c>
      <c r="T35" s="46">
        <v>44956</v>
      </c>
      <c r="U35" s="45">
        <v>49600000</v>
      </c>
      <c r="V35" s="43">
        <v>887</v>
      </c>
      <c r="W35" s="44">
        <v>44956</v>
      </c>
      <c r="X35" s="47">
        <v>49600000</v>
      </c>
      <c r="Y35" s="46">
        <v>45199</v>
      </c>
      <c r="Z35" s="48" t="s">
        <v>109</v>
      </c>
      <c r="AA35" s="49" t="s">
        <v>121</v>
      </c>
      <c r="AB35" s="49" t="s">
        <v>121</v>
      </c>
      <c r="AC35" s="26" t="s">
        <v>121</v>
      </c>
      <c r="AD35" s="49" t="s">
        <v>121</v>
      </c>
      <c r="AE35" s="49" t="s">
        <v>121</v>
      </c>
      <c r="AF35" s="49" t="s">
        <v>121</v>
      </c>
      <c r="AG35" s="49" t="s">
        <v>121</v>
      </c>
      <c r="AH35" s="50" t="s">
        <v>121</v>
      </c>
      <c r="AI35" s="48" t="s">
        <v>121</v>
      </c>
      <c r="AJ35" s="50" t="s">
        <v>121</v>
      </c>
      <c r="AK35" s="50" t="s">
        <v>121</v>
      </c>
      <c r="AL35" s="50" t="s">
        <v>121</v>
      </c>
      <c r="AM35" s="48" t="s">
        <v>121</v>
      </c>
      <c r="AN35" s="50" t="s">
        <v>121</v>
      </c>
      <c r="AO35" s="48" t="s">
        <v>121</v>
      </c>
      <c r="AP35" s="48" t="s">
        <v>121</v>
      </c>
      <c r="AQ35" s="48" t="s">
        <v>121</v>
      </c>
      <c r="AR35" s="48" t="s">
        <v>121</v>
      </c>
      <c r="AS35" s="48" t="s">
        <v>121</v>
      </c>
      <c r="AT35" s="48" t="s">
        <v>121</v>
      </c>
      <c r="AU35" s="48" t="s">
        <v>121</v>
      </c>
      <c r="AV35" s="53">
        <v>45016</v>
      </c>
      <c r="AW35" s="40" t="s">
        <v>152</v>
      </c>
      <c r="AX35" s="40" t="s">
        <v>184</v>
      </c>
      <c r="AY35" s="54">
        <v>20235920001973</v>
      </c>
    </row>
    <row r="36" spans="2:51" s="37" customFormat="1" ht="15" x14ac:dyDescent="0.25">
      <c r="B36" s="38">
        <v>35</v>
      </c>
      <c r="C36" s="39">
        <v>2023</v>
      </c>
      <c r="D36" s="40" t="s">
        <v>405</v>
      </c>
      <c r="E36" s="41" t="s">
        <v>96</v>
      </c>
      <c r="F36" s="40" t="s">
        <v>97</v>
      </c>
      <c r="G36" s="40" t="s">
        <v>98</v>
      </c>
      <c r="H36" s="41" t="s">
        <v>406</v>
      </c>
      <c r="I36" s="25" t="s">
        <v>407</v>
      </c>
      <c r="J36" s="42" t="s">
        <v>408</v>
      </c>
      <c r="K36" s="42" t="s">
        <v>409</v>
      </c>
      <c r="L36" s="26">
        <v>79127015</v>
      </c>
      <c r="M36" s="43">
        <v>853</v>
      </c>
      <c r="N36" s="44">
        <v>44943</v>
      </c>
      <c r="O36" s="45">
        <v>30000000</v>
      </c>
      <c r="P36" s="44">
        <v>44953</v>
      </c>
      <c r="Q36" s="43" t="s">
        <v>410</v>
      </c>
      <c r="R36" s="46">
        <v>44956</v>
      </c>
      <c r="S36" s="45" t="s">
        <v>411</v>
      </c>
      <c r="T36" s="55">
        <v>44958</v>
      </c>
      <c r="U36" s="45">
        <v>10000000</v>
      </c>
      <c r="V36" s="43">
        <v>888</v>
      </c>
      <c r="W36" s="44">
        <v>44956</v>
      </c>
      <c r="X36" s="47">
        <v>10000000</v>
      </c>
      <c r="Y36" s="46">
        <v>45076</v>
      </c>
      <c r="Z36" s="48" t="s">
        <v>120</v>
      </c>
      <c r="AA36" s="49" t="s">
        <v>121</v>
      </c>
      <c r="AB36" s="49" t="s">
        <v>121</v>
      </c>
      <c r="AC36" s="26" t="s">
        <v>121</v>
      </c>
      <c r="AD36" s="49" t="s">
        <v>121</v>
      </c>
      <c r="AE36" s="49" t="s">
        <v>121</v>
      </c>
      <c r="AF36" s="49" t="s">
        <v>121</v>
      </c>
      <c r="AG36" s="49" t="s">
        <v>121</v>
      </c>
      <c r="AH36" s="49" t="s">
        <v>121</v>
      </c>
      <c r="AI36" s="49" t="s">
        <v>121</v>
      </c>
      <c r="AJ36" s="49" t="s">
        <v>121</v>
      </c>
      <c r="AK36" s="49" t="s">
        <v>121</v>
      </c>
      <c r="AL36" s="49" t="s">
        <v>121</v>
      </c>
      <c r="AM36" s="49" t="s">
        <v>121</v>
      </c>
      <c r="AN36" s="49" t="s">
        <v>121</v>
      </c>
      <c r="AO36" s="49" t="s">
        <v>121</v>
      </c>
      <c r="AP36" s="49" t="s">
        <v>121</v>
      </c>
      <c r="AQ36" s="49" t="s">
        <v>121</v>
      </c>
      <c r="AR36" s="49" t="s">
        <v>121</v>
      </c>
      <c r="AS36" s="49" t="s">
        <v>121</v>
      </c>
      <c r="AT36" s="49" t="s">
        <v>121</v>
      </c>
      <c r="AU36" s="49" t="s">
        <v>121</v>
      </c>
      <c r="AV36" s="49" t="s">
        <v>121</v>
      </c>
      <c r="AW36" s="41" t="s">
        <v>122</v>
      </c>
      <c r="AX36" s="40" t="s">
        <v>271</v>
      </c>
      <c r="AY36" s="54">
        <v>20235920004293</v>
      </c>
    </row>
    <row r="37" spans="2:51" s="37" customFormat="1" ht="15" x14ac:dyDescent="0.25">
      <c r="B37" s="38">
        <v>36</v>
      </c>
      <c r="C37" s="39">
        <v>2023</v>
      </c>
      <c r="D37" s="40" t="s">
        <v>412</v>
      </c>
      <c r="E37" s="41" t="s">
        <v>96</v>
      </c>
      <c r="F37" s="40" t="s">
        <v>97</v>
      </c>
      <c r="G37" s="40" t="s">
        <v>98</v>
      </c>
      <c r="H37" s="41" t="s">
        <v>413</v>
      </c>
      <c r="I37" s="25" t="s">
        <v>414</v>
      </c>
      <c r="J37" s="42" t="s">
        <v>408</v>
      </c>
      <c r="K37" s="42" t="s">
        <v>415</v>
      </c>
      <c r="L37" s="26">
        <v>79859514</v>
      </c>
      <c r="M37" s="43">
        <v>853</v>
      </c>
      <c r="N37" s="44">
        <v>44943</v>
      </c>
      <c r="O37" s="45">
        <v>30000000</v>
      </c>
      <c r="P37" s="44">
        <v>44953</v>
      </c>
      <c r="Q37" s="43" t="s">
        <v>416</v>
      </c>
      <c r="R37" s="46">
        <v>44956</v>
      </c>
      <c r="S37" s="45" t="s">
        <v>411</v>
      </c>
      <c r="T37" s="55">
        <v>44958</v>
      </c>
      <c r="U37" s="45">
        <v>10000000</v>
      </c>
      <c r="V37" s="43">
        <v>889</v>
      </c>
      <c r="W37" s="44">
        <v>44956</v>
      </c>
      <c r="X37" s="47">
        <v>10000000</v>
      </c>
      <c r="Y37" s="46">
        <v>45076</v>
      </c>
      <c r="Z37" s="48" t="s">
        <v>120</v>
      </c>
      <c r="AA37" s="49" t="s">
        <v>121</v>
      </c>
      <c r="AB37" s="49" t="s">
        <v>121</v>
      </c>
      <c r="AC37" s="26" t="s">
        <v>121</v>
      </c>
      <c r="AD37" s="49" t="s">
        <v>121</v>
      </c>
      <c r="AE37" s="49" t="s">
        <v>121</v>
      </c>
      <c r="AF37" s="49" t="s">
        <v>121</v>
      </c>
      <c r="AG37" s="49" t="s">
        <v>121</v>
      </c>
      <c r="AH37" s="49" t="s">
        <v>121</v>
      </c>
      <c r="AI37" s="49" t="s">
        <v>121</v>
      </c>
      <c r="AJ37" s="49" t="s">
        <v>121</v>
      </c>
      <c r="AK37" s="49" t="s">
        <v>121</v>
      </c>
      <c r="AL37" s="49" t="s">
        <v>121</v>
      </c>
      <c r="AM37" s="49" t="s">
        <v>121</v>
      </c>
      <c r="AN37" s="49" t="s">
        <v>121</v>
      </c>
      <c r="AO37" s="49" t="s">
        <v>121</v>
      </c>
      <c r="AP37" s="49" t="s">
        <v>121</v>
      </c>
      <c r="AQ37" s="49" t="s">
        <v>121</v>
      </c>
      <c r="AR37" s="49" t="s">
        <v>121</v>
      </c>
      <c r="AS37" s="49" t="s">
        <v>121</v>
      </c>
      <c r="AT37" s="49" t="s">
        <v>121</v>
      </c>
      <c r="AU37" s="49" t="s">
        <v>121</v>
      </c>
      <c r="AV37" s="49" t="s">
        <v>121</v>
      </c>
      <c r="AW37" s="41" t="s">
        <v>122</v>
      </c>
      <c r="AX37" s="40" t="s">
        <v>417</v>
      </c>
      <c r="AY37" s="54">
        <v>20235920001073</v>
      </c>
    </row>
    <row r="38" spans="2:51" s="37" customFormat="1" ht="17.25" customHeight="1" x14ac:dyDescent="0.25">
      <c r="B38" s="38">
        <v>37</v>
      </c>
      <c r="C38" s="39">
        <v>2023</v>
      </c>
      <c r="D38" s="40" t="s">
        <v>418</v>
      </c>
      <c r="E38" s="41" t="s">
        <v>96</v>
      </c>
      <c r="F38" s="40" t="s">
        <v>97</v>
      </c>
      <c r="G38" s="40" t="s">
        <v>98</v>
      </c>
      <c r="H38" s="41" t="s">
        <v>419</v>
      </c>
      <c r="I38" s="25" t="s">
        <v>420</v>
      </c>
      <c r="J38" s="42" t="s">
        <v>421</v>
      </c>
      <c r="K38" s="42" t="s">
        <v>123</v>
      </c>
      <c r="L38" s="26">
        <v>92517572</v>
      </c>
      <c r="M38" s="43">
        <v>977</v>
      </c>
      <c r="N38" s="44">
        <v>44952</v>
      </c>
      <c r="O38" s="45">
        <v>93500000</v>
      </c>
      <c r="P38" s="44">
        <v>44953</v>
      </c>
      <c r="Q38" s="43" t="s">
        <v>422</v>
      </c>
      <c r="R38" s="46">
        <v>44956</v>
      </c>
      <c r="S38" s="45" t="s">
        <v>423</v>
      </c>
      <c r="T38" s="46">
        <v>44958</v>
      </c>
      <c r="U38" s="45">
        <v>93500000</v>
      </c>
      <c r="V38" s="43">
        <v>893</v>
      </c>
      <c r="W38" s="44">
        <v>44956</v>
      </c>
      <c r="X38" s="47">
        <v>93500000</v>
      </c>
      <c r="Y38" s="46">
        <v>45290</v>
      </c>
      <c r="Z38" s="48" t="s">
        <v>120</v>
      </c>
      <c r="AA38" s="49"/>
      <c r="AB38" s="48"/>
      <c r="AC38" s="26"/>
      <c r="AD38" s="48"/>
      <c r="AE38" s="49"/>
      <c r="AF38" s="48"/>
      <c r="AG38" s="45"/>
      <c r="AH38" s="50">
        <f>U38+AG38</f>
        <v>93500000</v>
      </c>
      <c r="AI38" s="48"/>
      <c r="AJ38" s="48"/>
      <c r="AK38" s="48"/>
      <c r="AL38" s="42"/>
      <c r="AM38" s="48"/>
      <c r="AN38" s="48"/>
      <c r="AO38" s="38"/>
      <c r="AP38" s="38"/>
      <c r="AQ38" s="38"/>
      <c r="AR38" s="38"/>
      <c r="AS38" s="38"/>
      <c r="AT38" s="51"/>
      <c r="AU38" s="52"/>
      <c r="AV38" s="38"/>
      <c r="AW38" s="41" t="s">
        <v>56</v>
      </c>
      <c r="AX38" s="40" t="s">
        <v>195</v>
      </c>
      <c r="AY38" s="54" t="s">
        <v>121</v>
      </c>
    </row>
    <row r="39" spans="2:51" s="37" customFormat="1" ht="17.25" customHeight="1" x14ac:dyDescent="0.25">
      <c r="B39" s="38">
        <v>38</v>
      </c>
      <c r="C39" s="39">
        <v>2023</v>
      </c>
      <c r="D39" s="40" t="s">
        <v>424</v>
      </c>
      <c r="E39" s="41" t="s">
        <v>96</v>
      </c>
      <c r="F39" s="40" t="s">
        <v>97</v>
      </c>
      <c r="G39" s="40" t="s">
        <v>98</v>
      </c>
      <c r="H39" s="41" t="s">
        <v>425</v>
      </c>
      <c r="I39" s="25" t="s">
        <v>426</v>
      </c>
      <c r="J39" s="42" t="s">
        <v>427</v>
      </c>
      <c r="K39" s="42" t="s">
        <v>428</v>
      </c>
      <c r="L39" s="26">
        <v>1014179439</v>
      </c>
      <c r="M39" s="43">
        <v>967</v>
      </c>
      <c r="N39" s="44">
        <v>44952</v>
      </c>
      <c r="O39" s="45">
        <v>45100000</v>
      </c>
      <c r="P39" s="44">
        <v>44953</v>
      </c>
      <c r="Q39" s="43" t="s">
        <v>429</v>
      </c>
      <c r="R39" s="46">
        <v>44956</v>
      </c>
      <c r="S39" s="45" t="s">
        <v>423</v>
      </c>
      <c r="T39" s="46">
        <v>44956</v>
      </c>
      <c r="U39" s="45">
        <v>45100000</v>
      </c>
      <c r="V39" s="43">
        <v>890</v>
      </c>
      <c r="W39" s="44">
        <v>44956</v>
      </c>
      <c r="X39" s="47">
        <v>45100000</v>
      </c>
      <c r="Y39" s="46">
        <v>45289</v>
      </c>
      <c r="Z39" s="48" t="s">
        <v>120</v>
      </c>
      <c r="AA39" s="49"/>
      <c r="AB39" s="48"/>
      <c r="AC39" s="26"/>
      <c r="AD39" s="48"/>
      <c r="AE39" s="49"/>
      <c r="AF39" s="48"/>
      <c r="AG39" s="45"/>
      <c r="AH39" s="50">
        <f>U39+AG39</f>
        <v>45100000</v>
      </c>
      <c r="AI39" s="48"/>
      <c r="AJ39" s="48"/>
      <c r="AK39" s="48"/>
      <c r="AL39" s="42"/>
      <c r="AM39" s="48"/>
      <c r="AN39" s="48"/>
      <c r="AO39" s="38"/>
      <c r="AP39" s="38"/>
      <c r="AQ39" s="38"/>
      <c r="AR39" s="38"/>
      <c r="AS39" s="38"/>
      <c r="AT39" s="51"/>
      <c r="AU39" s="52"/>
      <c r="AV39" s="38"/>
      <c r="AW39" s="41" t="s">
        <v>56</v>
      </c>
      <c r="AX39" s="40" t="s">
        <v>430</v>
      </c>
      <c r="AY39" s="54">
        <v>20235920008813</v>
      </c>
    </row>
    <row r="40" spans="2:51" s="37" customFormat="1" ht="26.25" x14ac:dyDescent="0.25">
      <c r="B40" s="38">
        <v>39</v>
      </c>
      <c r="C40" s="39">
        <v>2023</v>
      </c>
      <c r="D40" s="40" t="s">
        <v>431</v>
      </c>
      <c r="E40" s="41" t="s">
        <v>324</v>
      </c>
      <c r="F40" s="40" t="s">
        <v>97</v>
      </c>
      <c r="G40" s="40" t="s">
        <v>98</v>
      </c>
      <c r="H40" s="41" t="s">
        <v>432</v>
      </c>
      <c r="I40" s="25" t="s">
        <v>433</v>
      </c>
      <c r="J40" s="42" t="s">
        <v>434</v>
      </c>
      <c r="K40" s="42" t="s">
        <v>435</v>
      </c>
      <c r="L40" s="26">
        <v>1026585989</v>
      </c>
      <c r="M40" s="43" t="s">
        <v>436</v>
      </c>
      <c r="N40" s="44" t="s">
        <v>437</v>
      </c>
      <c r="O40" s="45">
        <f>405000000+20400000</f>
        <v>425400000</v>
      </c>
      <c r="P40" s="44">
        <v>44956</v>
      </c>
      <c r="Q40" s="43" t="s">
        <v>438</v>
      </c>
      <c r="R40" s="46">
        <v>44957</v>
      </c>
      <c r="S40" s="45" t="s">
        <v>162</v>
      </c>
      <c r="T40" s="46">
        <v>44963</v>
      </c>
      <c r="U40" s="45">
        <v>45000000</v>
      </c>
      <c r="V40" s="43" t="s">
        <v>439</v>
      </c>
      <c r="W40" s="44" t="s">
        <v>440</v>
      </c>
      <c r="X40" s="47">
        <f>45000000+20400000</f>
        <v>65400000</v>
      </c>
      <c r="Y40" s="46">
        <v>45189</v>
      </c>
      <c r="Z40" s="48" t="s">
        <v>109</v>
      </c>
      <c r="AA40" s="49"/>
      <c r="AB40" s="48"/>
      <c r="AC40" s="26"/>
      <c r="AD40" s="48"/>
      <c r="AE40" s="49"/>
      <c r="AF40" s="49">
        <v>45187</v>
      </c>
      <c r="AG40" s="45">
        <v>20400000</v>
      </c>
      <c r="AH40" s="50">
        <f>U40+AG40</f>
        <v>65400000</v>
      </c>
      <c r="AI40" s="48" t="s">
        <v>438</v>
      </c>
      <c r="AJ40" s="49">
        <v>45189</v>
      </c>
      <c r="AK40" s="49">
        <v>45187</v>
      </c>
      <c r="AL40" s="42" t="s">
        <v>441</v>
      </c>
      <c r="AM40" s="48" t="s">
        <v>438</v>
      </c>
      <c r="AN40" s="49">
        <v>45189</v>
      </c>
      <c r="AO40" s="38"/>
      <c r="AP40" s="38"/>
      <c r="AQ40" s="38"/>
      <c r="AR40" s="38"/>
      <c r="AS40" s="38"/>
      <c r="AT40" s="51"/>
      <c r="AU40" s="52"/>
      <c r="AV40" s="53">
        <v>45291</v>
      </c>
      <c r="AW40" s="41" t="s">
        <v>56</v>
      </c>
      <c r="AX40" s="40" t="s">
        <v>145</v>
      </c>
      <c r="AY40" s="54">
        <v>20235920001003</v>
      </c>
    </row>
    <row r="41" spans="2:51" s="37" customFormat="1" ht="26.25" x14ac:dyDescent="0.25">
      <c r="B41" s="38">
        <v>40</v>
      </c>
      <c r="C41" s="39">
        <v>2023</v>
      </c>
      <c r="D41" s="40" t="s">
        <v>442</v>
      </c>
      <c r="E41" s="41" t="s">
        <v>324</v>
      </c>
      <c r="F41" s="40" t="s">
        <v>97</v>
      </c>
      <c r="G41" s="40" t="s">
        <v>98</v>
      </c>
      <c r="H41" s="41" t="s">
        <v>443</v>
      </c>
      <c r="I41" s="25" t="s">
        <v>444</v>
      </c>
      <c r="J41" s="42" t="s">
        <v>434</v>
      </c>
      <c r="K41" s="42" t="s">
        <v>445</v>
      </c>
      <c r="L41" s="26">
        <v>1016053840</v>
      </c>
      <c r="M41" s="43" t="s">
        <v>446</v>
      </c>
      <c r="N41" s="44" t="s">
        <v>447</v>
      </c>
      <c r="O41" s="45">
        <f>405000000+20400000</f>
        <v>425400000</v>
      </c>
      <c r="P41" s="44">
        <v>44956</v>
      </c>
      <c r="Q41" s="43" t="s">
        <v>448</v>
      </c>
      <c r="R41" s="46">
        <v>44957</v>
      </c>
      <c r="S41" s="45" t="s">
        <v>162</v>
      </c>
      <c r="T41" s="46">
        <v>44963</v>
      </c>
      <c r="U41" s="45">
        <v>45000000</v>
      </c>
      <c r="V41" s="43" t="s">
        <v>449</v>
      </c>
      <c r="W41" s="44" t="s">
        <v>450</v>
      </c>
      <c r="X41" s="47">
        <f>45000000+20400000</f>
        <v>65400000</v>
      </c>
      <c r="Y41" s="46">
        <v>45189</v>
      </c>
      <c r="Z41" s="48" t="s">
        <v>109</v>
      </c>
      <c r="AA41" s="49"/>
      <c r="AB41" s="48"/>
      <c r="AC41" s="26"/>
      <c r="AD41" s="48"/>
      <c r="AE41" s="49"/>
      <c r="AF41" s="49">
        <v>45188</v>
      </c>
      <c r="AG41" s="45">
        <v>20400000</v>
      </c>
      <c r="AH41" s="50">
        <f>U41+AG41</f>
        <v>65400000</v>
      </c>
      <c r="AI41" s="48" t="s">
        <v>448</v>
      </c>
      <c r="AJ41" s="49">
        <v>45211</v>
      </c>
      <c r="AK41" s="49">
        <v>45188</v>
      </c>
      <c r="AL41" s="42" t="s">
        <v>441</v>
      </c>
      <c r="AM41" s="48" t="s">
        <v>448</v>
      </c>
      <c r="AN41" s="49">
        <v>45211</v>
      </c>
      <c r="AO41" s="38"/>
      <c r="AP41" s="38"/>
      <c r="AQ41" s="38"/>
      <c r="AR41" s="38"/>
      <c r="AS41" s="38"/>
      <c r="AT41" s="51"/>
      <c r="AU41" s="52"/>
      <c r="AV41" s="53">
        <v>45290</v>
      </c>
      <c r="AW41" s="41" t="s">
        <v>56</v>
      </c>
      <c r="AX41" s="40" t="s">
        <v>145</v>
      </c>
      <c r="AY41" s="54">
        <v>20235920001003</v>
      </c>
    </row>
    <row r="42" spans="2:51" s="37" customFormat="1" ht="26.25" x14ac:dyDescent="0.25">
      <c r="B42" s="38">
        <v>41</v>
      </c>
      <c r="C42" s="39">
        <v>2023</v>
      </c>
      <c r="D42" s="40" t="s">
        <v>451</v>
      </c>
      <c r="E42" s="41" t="s">
        <v>324</v>
      </c>
      <c r="F42" s="40" t="s">
        <v>97</v>
      </c>
      <c r="G42" s="40" t="s">
        <v>98</v>
      </c>
      <c r="H42" s="41" t="s">
        <v>452</v>
      </c>
      <c r="I42" s="25" t="s">
        <v>453</v>
      </c>
      <c r="J42" s="42" t="s">
        <v>434</v>
      </c>
      <c r="K42" s="42" t="s">
        <v>454</v>
      </c>
      <c r="L42" s="26">
        <v>52809867</v>
      </c>
      <c r="M42" s="43" t="s">
        <v>455</v>
      </c>
      <c r="N42" s="44" t="s">
        <v>447</v>
      </c>
      <c r="O42" s="45">
        <f>405000000+20400000</f>
        <v>425400000</v>
      </c>
      <c r="P42" s="44">
        <v>44960</v>
      </c>
      <c r="Q42" s="43" t="s">
        <v>456</v>
      </c>
      <c r="R42" s="46">
        <v>44960</v>
      </c>
      <c r="S42" s="45" t="s">
        <v>162</v>
      </c>
      <c r="T42" s="46">
        <v>44963</v>
      </c>
      <c r="U42" s="45">
        <v>45000000</v>
      </c>
      <c r="V42" s="43" t="s">
        <v>457</v>
      </c>
      <c r="W42" s="44" t="s">
        <v>458</v>
      </c>
      <c r="X42" s="47">
        <f>45000000+20400000</f>
        <v>65400000</v>
      </c>
      <c r="Y42" s="46">
        <v>45189</v>
      </c>
      <c r="Z42" s="48" t="s">
        <v>109</v>
      </c>
      <c r="AA42" s="49"/>
      <c r="AB42" s="48"/>
      <c r="AC42" s="26"/>
      <c r="AD42" s="48"/>
      <c r="AE42" s="49"/>
      <c r="AF42" s="49">
        <v>45187</v>
      </c>
      <c r="AG42" s="45">
        <v>20400000</v>
      </c>
      <c r="AH42" s="50">
        <f>U42+AG42</f>
        <v>65400000</v>
      </c>
      <c r="AI42" s="48" t="s">
        <v>456</v>
      </c>
      <c r="AJ42" s="49">
        <v>45189</v>
      </c>
      <c r="AK42" s="49">
        <v>45187</v>
      </c>
      <c r="AL42" s="42" t="s">
        <v>441</v>
      </c>
      <c r="AM42" s="48" t="s">
        <v>456</v>
      </c>
      <c r="AN42" s="49">
        <v>45189</v>
      </c>
      <c r="AO42" s="38"/>
      <c r="AP42" s="38"/>
      <c r="AQ42" s="38"/>
      <c r="AR42" s="38"/>
      <c r="AS42" s="38"/>
      <c r="AT42" s="51"/>
      <c r="AU42" s="52"/>
      <c r="AV42" s="53">
        <v>45291</v>
      </c>
      <c r="AW42" s="41" t="s">
        <v>56</v>
      </c>
      <c r="AX42" s="40" t="s">
        <v>145</v>
      </c>
      <c r="AY42" s="54">
        <v>20235920001003</v>
      </c>
    </row>
    <row r="43" spans="2:51" s="37" customFormat="1" ht="17.25" customHeight="1" x14ac:dyDescent="0.25">
      <c r="B43" s="38">
        <v>42</v>
      </c>
      <c r="C43" s="39">
        <v>2023</v>
      </c>
      <c r="D43" s="40" t="s">
        <v>459</v>
      </c>
      <c r="E43" s="41" t="s">
        <v>128</v>
      </c>
      <c r="F43" s="40" t="s">
        <v>97</v>
      </c>
      <c r="G43" s="40" t="s">
        <v>98</v>
      </c>
      <c r="H43" s="41" t="s">
        <v>460</v>
      </c>
      <c r="I43" s="25" t="s">
        <v>461</v>
      </c>
      <c r="J43" s="42" t="s">
        <v>462</v>
      </c>
      <c r="K43" s="42" t="s">
        <v>463</v>
      </c>
      <c r="L43" s="26">
        <v>1014229979</v>
      </c>
      <c r="M43" s="43" t="s">
        <v>464</v>
      </c>
      <c r="N43" s="44" t="s">
        <v>201</v>
      </c>
      <c r="O43" s="45">
        <f>165000000+19433333</f>
        <v>184433333</v>
      </c>
      <c r="P43" s="44">
        <v>44957</v>
      </c>
      <c r="Q43" s="43" t="s">
        <v>465</v>
      </c>
      <c r="R43" s="46">
        <v>44958</v>
      </c>
      <c r="S43" s="45" t="s">
        <v>162</v>
      </c>
      <c r="T43" s="46">
        <v>44959</v>
      </c>
      <c r="U43" s="45">
        <v>41250000</v>
      </c>
      <c r="V43" s="43" t="s">
        <v>466</v>
      </c>
      <c r="W43" s="44" t="s">
        <v>381</v>
      </c>
      <c r="X43" s="47">
        <f>41250000+19433333</f>
        <v>60683333</v>
      </c>
      <c r="Y43" s="46">
        <v>45185</v>
      </c>
      <c r="Z43" s="48" t="s">
        <v>109</v>
      </c>
      <c r="AA43" s="49"/>
      <c r="AB43" s="48"/>
      <c r="AC43" s="26"/>
      <c r="AD43" s="48"/>
      <c r="AE43" s="49"/>
      <c r="AF43" s="49">
        <v>45184</v>
      </c>
      <c r="AG43" s="45">
        <v>19433333</v>
      </c>
      <c r="AH43" s="50">
        <f>U43+AG43</f>
        <v>60683333</v>
      </c>
      <c r="AI43" s="48" t="s">
        <v>465</v>
      </c>
      <c r="AJ43" s="49">
        <v>45191</v>
      </c>
      <c r="AK43" s="49">
        <v>45184</v>
      </c>
      <c r="AL43" s="42" t="s">
        <v>281</v>
      </c>
      <c r="AM43" s="48" t="s">
        <v>465</v>
      </c>
      <c r="AN43" s="49">
        <v>45191</v>
      </c>
      <c r="AO43" s="38"/>
      <c r="AP43" s="38"/>
      <c r="AQ43" s="38"/>
      <c r="AR43" s="38"/>
      <c r="AS43" s="38"/>
      <c r="AT43" s="51"/>
      <c r="AU43" s="52"/>
      <c r="AV43" s="53">
        <v>45291</v>
      </c>
      <c r="AW43" s="41" t="s">
        <v>56</v>
      </c>
      <c r="AX43" s="40" t="s">
        <v>467</v>
      </c>
      <c r="AY43" s="54">
        <v>20235920004943</v>
      </c>
    </row>
    <row r="44" spans="2:51" s="37" customFormat="1" ht="17.25" customHeight="1" x14ac:dyDescent="0.25">
      <c r="B44" s="38">
        <v>43</v>
      </c>
      <c r="C44" s="39">
        <v>2023</v>
      </c>
      <c r="D44" s="40" t="s">
        <v>468</v>
      </c>
      <c r="E44" s="41" t="s">
        <v>128</v>
      </c>
      <c r="F44" s="40" t="s">
        <v>97</v>
      </c>
      <c r="G44" s="40" t="s">
        <v>98</v>
      </c>
      <c r="H44" s="41" t="s">
        <v>469</v>
      </c>
      <c r="I44" s="25" t="s">
        <v>470</v>
      </c>
      <c r="J44" s="42" t="s">
        <v>462</v>
      </c>
      <c r="K44" s="42" t="s">
        <v>471</v>
      </c>
      <c r="L44" s="26">
        <v>1019081172</v>
      </c>
      <c r="M44" s="43" t="s">
        <v>472</v>
      </c>
      <c r="N44" s="44" t="s">
        <v>130</v>
      </c>
      <c r="O44" s="45">
        <f>165000000+19433333</f>
        <v>184433333</v>
      </c>
      <c r="P44" s="44">
        <v>44957</v>
      </c>
      <c r="Q44" s="43" t="s">
        <v>473</v>
      </c>
      <c r="R44" s="46">
        <v>44958</v>
      </c>
      <c r="S44" s="45" t="s">
        <v>162</v>
      </c>
      <c r="T44" s="46">
        <v>44959</v>
      </c>
      <c r="U44" s="45">
        <v>41250000</v>
      </c>
      <c r="V44" s="43" t="s">
        <v>474</v>
      </c>
      <c r="W44" s="44" t="s">
        <v>381</v>
      </c>
      <c r="X44" s="47">
        <f>41250000+19433333</f>
        <v>60683333</v>
      </c>
      <c r="Y44" s="46">
        <v>45185</v>
      </c>
      <c r="Z44" s="48" t="s">
        <v>109</v>
      </c>
      <c r="AA44" s="49">
        <v>45013</v>
      </c>
      <c r="AB44" s="48" t="s">
        <v>475</v>
      </c>
      <c r="AC44" s="26">
        <v>1030600115</v>
      </c>
      <c r="AD44" s="48" t="s">
        <v>476</v>
      </c>
      <c r="AE44" s="49">
        <v>45057</v>
      </c>
      <c r="AF44" s="49">
        <v>45184</v>
      </c>
      <c r="AG44" s="45">
        <v>19433333</v>
      </c>
      <c r="AH44" s="50">
        <f>U44+AG44</f>
        <v>60683333</v>
      </c>
      <c r="AI44" s="48" t="s">
        <v>477</v>
      </c>
      <c r="AJ44" s="49">
        <v>45188</v>
      </c>
      <c r="AK44" s="49">
        <v>45184</v>
      </c>
      <c r="AL44" s="42" t="s">
        <v>281</v>
      </c>
      <c r="AM44" s="48" t="s">
        <v>477</v>
      </c>
      <c r="AN44" s="49">
        <v>45188</v>
      </c>
      <c r="AO44" s="38"/>
      <c r="AP44" s="38"/>
      <c r="AQ44" s="38"/>
      <c r="AR44" s="38"/>
      <c r="AS44" s="38"/>
      <c r="AT44" s="51"/>
      <c r="AU44" s="52"/>
      <c r="AV44" s="53">
        <v>45291</v>
      </c>
      <c r="AW44" s="41" t="s">
        <v>137</v>
      </c>
      <c r="AX44" s="40" t="s">
        <v>467</v>
      </c>
      <c r="AY44" s="54">
        <v>20235920004943</v>
      </c>
    </row>
    <row r="45" spans="2:51" s="37" customFormat="1" ht="17.25" customHeight="1" x14ac:dyDescent="0.25">
      <c r="B45" s="38">
        <v>44</v>
      </c>
      <c r="C45" s="39">
        <v>2023</v>
      </c>
      <c r="D45" s="40" t="s">
        <v>478</v>
      </c>
      <c r="E45" s="41" t="s">
        <v>96</v>
      </c>
      <c r="F45" s="40" t="s">
        <v>97</v>
      </c>
      <c r="G45" s="40" t="s">
        <v>98</v>
      </c>
      <c r="H45" s="41" t="s">
        <v>479</v>
      </c>
      <c r="I45" s="25" t="s">
        <v>480</v>
      </c>
      <c r="J45" s="42" t="s">
        <v>481</v>
      </c>
      <c r="K45" s="42" t="s">
        <v>111</v>
      </c>
      <c r="L45" s="26">
        <v>43164163</v>
      </c>
      <c r="M45" s="43">
        <v>866</v>
      </c>
      <c r="N45" s="44">
        <v>44943</v>
      </c>
      <c r="O45" s="45">
        <v>109250000</v>
      </c>
      <c r="P45" s="44">
        <v>44957</v>
      </c>
      <c r="Q45" s="43" t="s">
        <v>482</v>
      </c>
      <c r="R45" s="46">
        <v>44958</v>
      </c>
      <c r="S45" s="45" t="s">
        <v>183</v>
      </c>
      <c r="T45" s="46">
        <v>44958</v>
      </c>
      <c r="U45" s="45">
        <v>104500000</v>
      </c>
      <c r="V45" s="43">
        <v>900</v>
      </c>
      <c r="W45" s="44">
        <v>44958</v>
      </c>
      <c r="X45" s="47">
        <v>104500000</v>
      </c>
      <c r="Y45" s="46">
        <v>45290</v>
      </c>
      <c r="Z45" s="48" t="s">
        <v>120</v>
      </c>
      <c r="AA45" s="49"/>
      <c r="AB45" s="48"/>
      <c r="AC45" s="26"/>
      <c r="AD45" s="48"/>
      <c r="AE45" s="49"/>
      <c r="AF45" s="48"/>
      <c r="AG45" s="45"/>
      <c r="AH45" s="50">
        <f>U45+AG45</f>
        <v>104500000</v>
      </c>
      <c r="AI45" s="48"/>
      <c r="AJ45" s="48"/>
      <c r="AK45" s="48"/>
      <c r="AL45" s="42"/>
      <c r="AM45" s="48"/>
      <c r="AN45" s="48"/>
      <c r="AO45" s="38"/>
      <c r="AP45" s="38"/>
      <c r="AQ45" s="38"/>
      <c r="AR45" s="38"/>
      <c r="AS45" s="38"/>
      <c r="AT45" s="51"/>
      <c r="AU45" s="52"/>
      <c r="AV45" s="38"/>
      <c r="AW45" s="41" t="s">
        <v>56</v>
      </c>
      <c r="AX45" s="40" t="s">
        <v>195</v>
      </c>
      <c r="AY45" s="54" t="s">
        <v>121</v>
      </c>
    </row>
    <row r="46" spans="2:51" s="37" customFormat="1" ht="17.25" customHeight="1" x14ac:dyDescent="0.25">
      <c r="B46" s="38">
        <v>45</v>
      </c>
      <c r="C46" s="39">
        <v>2023</v>
      </c>
      <c r="D46" s="40" t="s">
        <v>483</v>
      </c>
      <c r="E46" s="41" t="s">
        <v>96</v>
      </c>
      <c r="F46" s="40" t="s">
        <v>97</v>
      </c>
      <c r="G46" s="40" t="s">
        <v>98</v>
      </c>
      <c r="H46" s="41" t="s">
        <v>484</v>
      </c>
      <c r="I46" s="25" t="s">
        <v>485</v>
      </c>
      <c r="J46" s="42" t="s">
        <v>486</v>
      </c>
      <c r="K46" s="42" t="s">
        <v>487</v>
      </c>
      <c r="L46" s="26">
        <v>1016039271</v>
      </c>
      <c r="M46" s="43">
        <v>863</v>
      </c>
      <c r="N46" s="44">
        <v>44943</v>
      </c>
      <c r="O46" s="45">
        <v>51911000</v>
      </c>
      <c r="P46" s="44">
        <v>44957</v>
      </c>
      <c r="Q46" s="43" t="s">
        <v>488</v>
      </c>
      <c r="R46" s="46">
        <v>44958</v>
      </c>
      <c r="S46" s="45" t="s">
        <v>183</v>
      </c>
      <c r="T46" s="46">
        <v>44958</v>
      </c>
      <c r="U46" s="45">
        <v>49654000</v>
      </c>
      <c r="V46" s="43">
        <v>901</v>
      </c>
      <c r="W46" s="44">
        <v>44958</v>
      </c>
      <c r="X46" s="47">
        <v>49654000</v>
      </c>
      <c r="Y46" s="46">
        <v>45290</v>
      </c>
      <c r="Z46" s="48" t="s">
        <v>120</v>
      </c>
      <c r="AA46" s="49"/>
      <c r="AB46" s="48"/>
      <c r="AC46" s="26"/>
      <c r="AD46" s="48"/>
      <c r="AE46" s="49"/>
      <c r="AF46" s="48"/>
      <c r="AG46" s="45"/>
      <c r="AH46" s="50">
        <f>U46+AG46</f>
        <v>49654000</v>
      </c>
      <c r="AI46" s="48"/>
      <c r="AJ46" s="48"/>
      <c r="AK46" s="48"/>
      <c r="AL46" s="42"/>
      <c r="AM46" s="48"/>
      <c r="AN46" s="48"/>
      <c r="AO46" s="38"/>
      <c r="AP46" s="38"/>
      <c r="AQ46" s="38"/>
      <c r="AR46" s="38"/>
      <c r="AS46" s="38"/>
      <c r="AT46" s="51"/>
      <c r="AU46" s="52"/>
      <c r="AV46" s="38"/>
      <c r="AW46" s="41" t="s">
        <v>56</v>
      </c>
      <c r="AX46" s="40" t="s">
        <v>111</v>
      </c>
      <c r="AY46" s="54">
        <v>20235920001133</v>
      </c>
    </row>
    <row r="47" spans="2:51" s="37" customFormat="1" ht="17.25" customHeight="1" x14ac:dyDescent="0.25">
      <c r="B47" s="38">
        <v>46</v>
      </c>
      <c r="C47" s="39">
        <v>2023</v>
      </c>
      <c r="D47" s="40" t="s">
        <v>489</v>
      </c>
      <c r="E47" s="41" t="s">
        <v>96</v>
      </c>
      <c r="F47" s="40" t="s">
        <v>97</v>
      </c>
      <c r="G47" s="40" t="s">
        <v>98</v>
      </c>
      <c r="H47" s="41" t="s">
        <v>490</v>
      </c>
      <c r="I47" s="25" t="s">
        <v>491</v>
      </c>
      <c r="J47" s="42" t="s">
        <v>492</v>
      </c>
      <c r="K47" s="42" t="s">
        <v>493</v>
      </c>
      <c r="L47" s="26">
        <v>80799413</v>
      </c>
      <c r="M47" s="43">
        <v>951</v>
      </c>
      <c r="N47" s="44">
        <v>44952</v>
      </c>
      <c r="O47" s="45">
        <v>77484000</v>
      </c>
      <c r="P47" s="44">
        <v>44957</v>
      </c>
      <c r="Q47" s="43" t="s">
        <v>494</v>
      </c>
      <c r="R47" s="46">
        <v>44958</v>
      </c>
      <c r="S47" s="45" t="s">
        <v>183</v>
      </c>
      <c r="T47" s="46">
        <v>44958</v>
      </c>
      <c r="U47" s="45">
        <v>77484000</v>
      </c>
      <c r="V47" s="43">
        <v>899</v>
      </c>
      <c r="W47" s="44">
        <v>44958</v>
      </c>
      <c r="X47" s="47">
        <v>77484000</v>
      </c>
      <c r="Y47" s="46">
        <v>45290</v>
      </c>
      <c r="Z47" s="48" t="s">
        <v>120</v>
      </c>
      <c r="AA47" s="49"/>
      <c r="AB47" s="48"/>
      <c r="AC47" s="26"/>
      <c r="AD47" s="48"/>
      <c r="AE47" s="49"/>
      <c r="AF47" s="48"/>
      <c r="AG47" s="45"/>
      <c r="AH47" s="50">
        <f>U47+AG47</f>
        <v>77484000</v>
      </c>
      <c r="AI47" s="48"/>
      <c r="AJ47" s="48"/>
      <c r="AK47" s="48"/>
      <c r="AL47" s="42"/>
      <c r="AM47" s="48"/>
      <c r="AN47" s="48"/>
      <c r="AO47" s="38"/>
      <c r="AP47" s="38"/>
      <c r="AQ47" s="38"/>
      <c r="AR47" s="38"/>
      <c r="AS47" s="38"/>
      <c r="AT47" s="51"/>
      <c r="AU47" s="52"/>
      <c r="AV47" s="38"/>
      <c r="AW47" s="41" t="s">
        <v>56</v>
      </c>
      <c r="AX47" s="40" t="s">
        <v>195</v>
      </c>
      <c r="AY47" s="54" t="s">
        <v>121</v>
      </c>
    </row>
    <row r="48" spans="2:51" s="37" customFormat="1" ht="15" x14ac:dyDescent="0.25">
      <c r="B48" s="38">
        <v>47</v>
      </c>
      <c r="C48" s="39">
        <v>2023</v>
      </c>
      <c r="D48" s="40" t="s">
        <v>495</v>
      </c>
      <c r="E48" s="41" t="s">
        <v>96</v>
      </c>
      <c r="F48" s="40" t="s">
        <v>97</v>
      </c>
      <c r="G48" s="40" t="s">
        <v>98</v>
      </c>
      <c r="H48" s="41" t="s">
        <v>496</v>
      </c>
      <c r="I48" s="25" t="s">
        <v>497</v>
      </c>
      <c r="J48" s="42" t="s">
        <v>498</v>
      </c>
      <c r="K48" s="42" t="s">
        <v>499</v>
      </c>
      <c r="L48" s="26">
        <v>79122866</v>
      </c>
      <c r="M48" s="43">
        <v>853</v>
      </c>
      <c r="N48" s="44">
        <v>44943</v>
      </c>
      <c r="O48" s="45">
        <v>30000000</v>
      </c>
      <c r="P48" s="44">
        <v>44957</v>
      </c>
      <c r="Q48" s="43" t="s">
        <v>500</v>
      </c>
      <c r="R48" s="46">
        <v>44958</v>
      </c>
      <c r="S48" s="45" t="s">
        <v>344</v>
      </c>
      <c r="T48" s="46">
        <v>44958</v>
      </c>
      <c r="U48" s="45">
        <v>10000000</v>
      </c>
      <c r="V48" s="43">
        <v>906</v>
      </c>
      <c r="W48" s="44">
        <v>44958</v>
      </c>
      <c r="X48" s="47">
        <v>10000000</v>
      </c>
      <c r="Y48" s="46">
        <v>45076</v>
      </c>
      <c r="Z48" s="48" t="s">
        <v>120</v>
      </c>
      <c r="AA48" s="49" t="s">
        <v>121</v>
      </c>
      <c r="AB48" s="49" t="s">
        <v>121</v>
      </c>
      <c r="AC48" s="26" t="s">
        <v>121</v>
      </c>
      <c r="AD48" s="49" t="s">
        <v>121</v>
      </c>
      <c r="AE48" s="49" t="s">
        <v>121</v>
      </c>
      <c r="AF48" s="49" t="s">
        <v>121</v>
      </c>
      <c r="AG48" s="49" t="s">
        <v>121</v>
      </c>
      <c r="AH48" s="49" t="s">
        <v>121</v>
      </c>
      <c r="AI48" s="49" t="s">
        <v>121</v>
      </c>
      <c r="AJ48" s="49" t="s">
        <v>121</v>
      </c>
      <c r="AK48" s="49" t="s">
        <v>121</v>
      </c>
      <c r="AL48" s="49" t="s">
        <v>121</v>
      </c>
      <c r="AM48" s="49" t="s">
        <v>121</v>
      </c>
      <c r="AN48" s="49" t="s">
        <v>121</v>
      </c>
      <c r="AO48" s="49" t="s">
        <v>121</v>
      </c>
      <c r="AP48" s="49" t="s">
        <v>121</v>
      </c>
      <c r="AQ48" s="49" t="s">
        <v>121</v>
      </c>
      <c r="AR48" s="49" t="s">
        <v>121</v>
      </c>
      <c r="AS48" s="49" t="s">
        <v>121</v>
      </c>
      <c r="AT48" s="49" t="s">
        <v>121</v>
      </c>
      <c r="AU48" s="49" t="s">
        <v>121</v>
      </c>
      <c r="AV48" s="49" t="s">
        <v>121</v>
      </c>
      <c r="AW48" s="41" t="s">
        <v>122</v>
      </c>
      <c r="AX48" s="40" t="s">
        <v>417</v>
      </c>
      <c r="AY48" s="54">
        <v>20235920001073</v>
      </c>
    </row>
    <row r="49" spans="2:51" s="37" customFormat="1" ht="17.25" customHeight="1" x14ac:dyDescent="0.25">
      <c r="B49" s="38">
        <v>48</v>
      </c>
      <c r="C49" s="39">
        <v>2023</v>
      </c>
      <c r="D49" s="40" t="s">
        <v>501</v>
      </c>
      <c r="E49" s="41" t="s">
        <v>96</v>
      </c>
      <c r="F49" s="40" t="s">
        <v>97</v>
      </c>
      <c r="G49" s="40" t="s">
        <v>98</v>
      </c>
      <c r="H49" s="41" t="s">
        <v>502</v>
      </c>
      <c r="I49" s="25" t="s">
        <v>503</v>
      </c>
      <c r="J49" s="42" t="s">
        <v>127</v>
      </c>
      <c r="K49" s="42" t="s">
        <v>504</v>
      </c>
      <c r="L49" s="26">
        <v>53069456</v>
      </c>
      <c r="M49" s="43">
        <v>891</v>
      </c>
      <c r="N49" s="44">
        <v>44943</v>
      </c>
      <c r="O49" s="45">
        <v>469200000</v>
      </c>
      <c r="P49" s="44">
        <v>44957</v>
      </c>
      <c r="Q49" s="43" t="s">
        <v>505</v>
      </c>
      <c r="R49" s="46">
        <v>44959</v>
      </c>
      <c r="S49" s="45" t="s">
        <v>183</v>
      </c>
      <c r="T49" s="46">
        <v>44959</v>
      </c>
      <c r="U49" s="45">
        <v>74800000</v>
      </c>
      <c r="V49" s="43">
        <v>911</v>
      </c>
      <c r="W49" s="44">
        <v>44959</v>
      </c>
      <c r="X49" s="47">
        <v>74800000</v>
      </c>
      <c r="Y49" s="46">
        <v>45292</v>
      </c>
      <c r="Z49" s="48" t="s">
        <v>120</v>
      </c>
      <c r="AA49" s="49"/>
      <c r="AB49" s="48"/>
      <c r="AC49" s="26"/>
      <c r="AD49" s="48"/>
      <c r="AE49" s="49"/>
      <c r="AF49" s="48"/>
      <c r="AG49" s="45"/>
      <c r="AH49" s="50">
        <f>U49+AG49</f>
        <v>74800000</v>
      </c>
      <c r="AI49" s="48"/>
      <c r="AJ49" s="48"/>
      <c r="AK49" s="48"/>
      <c r="AL49" s="42"/>
      <c r="AM49" s="48"/>
      <c r="AN49" s="48"/>
      <c r="AO49" s="38"/>
      <c r="AP49" s="38"/>
      <c r="AQ49" s="38"/>
      <c r="AR49" s="38"/>
      <c r="AS49" s="38"/>
      <c r="AT49" s="51"/>
      <c r="AU49" s="52"/>
      <c r="AV49" s="38"/>
      <c r="AW49" s="41" t="s">
        <v>56</v>
      </c>
      <c r="AX49" s="40" t="s">
        <v>111</v>
      </c>
      <c r="AY49" s="54">
        <v>20235920001133</v>
      </c>
    </row>
    <row r="50" spans="2:51" s="37" customFormat="1" ht="15" x14ac:dyDescent="0.25">
      <c r="B50" s="38">
        <v>49</v>
      </c>
      <c r="C50" s="39">
        <v>2023</v>
      </c>
      <c r="D50" s="40" t="s">
        <v>506</v>
      </c>
      <c r="E50" s="41" t="s">
        <v>96</v>
      </c>
      <c r="F50" s="40" t="s">
        <v>97</v>
      </c>
      <c r="G50" s="40" t="s">
        <v>98</v>
      </c>
      <c r="H50" s="41" t="s">
        <v>507</v>
      </c>
      <c r="I50" s="25" t="s">
        <v>508</v>
      </c>
      <c r="J50" s="42" t="s">
        <v>509</v>
      </c>
      <c r="K50" s="42" t="s">
        <v>510</v>
      </c>
      <c r="L50" s="26">
        <v>79748105</v>
      </c>
      <c r="M50" s="43">
        <v>915</v>
      </c>
      <c r="N50" s="44">
        <v>44944</v>
      </c>
      <c r="O50" s="45">
        <v>108000000</v>
      </c>
      <c r="P50" s="44">
        <v>44957</v>
      </c>
      <c r="Q50" s="43" t="s">
        <v>511</v>
      </c>
      <c r="R50" s="46">
        <v>44958</v>
      </c>
      <c r="S50" s="45" t="s">
        <v>344</v>
      </c>
      <c r="T50" s="46">
        <v>44966</v>
      </c>
      <c r="U50" s="45">
        <v>10800000</v>
      </c>
      <c r="V50" s="43">
        <v>904</v>
      </c>
      <c r="W50" s="44">
        <v>44958</v>
      </c>
      <c r="X50" s="47">
        <v>10800000</v>
      </c>
      <c r="Y50" s="46">
        <v>45085</v>
      </c>
      <c r="Z50" s="48" t="s">
        <v>109</v>
      </c>
      <c r="AA50" s="49">
        <v>44966</v>
      </c>
      <c r="AB50" s="48" t="s">
        <v>512</v>
      </c>
      <c r="AC50" s="26">
        <v>1030602008</v>
      </c>
      <c r="AD50" s="48" t="s">
        <v>513</v>
      </c>
      <c r="AE50" s="49">
        <v>44970</v>
      </c>
      <c r="AF50" s="48"/>
      <c r="AG50" s="45"/>
      <c r="AH50" s="50">
        <f>U50+AG50</f>
        <v>10800000</v>
      </c>
      <c r="AI50" s="50" t="s">
        <v>121</v>
      </c>
      <c r="AJ50" s="50" t="s">
        <v>121</v>
      </c>
      <c r="AK50" s="50" t="s">
        <v>121</v>
      </c>
      <c r="AL50" s="50" t="s">
        <v>121</v>
      </c>
      <c r="AM50" s="50" t="s">
        <v>121</v>
      </c>
      <c r="AN50" s="50" t="s">
        <v>121</v>
      </c>
      <c r="AO50" s="50" t="s">
        <v>121</v>
      </c>
      <c r="AP50" s="50" t="s">
        <v>121</v>
      </c>
      <c r="AQ50" s="50" t="s">
        <v>121</v>
      </c>
      <c r="AR50" s="50" t="s">
        <v>121</v>
      </c>
      <c r="AS50" s="50" t="s">
        <v>121</v>
      </c>
      <c r="AT50" s="50" t="s">
        <v>121</v>
      </c>
      <c r="AU50" s="50" t="s">
        <v>121</v>
      </c>
      <c r="AV50" s="38"/>
      <c r="AW50" s="41" t="s">
        <v>514</v>
      </c>
      <c r="AX50" s="40" t="s">
        <v>271</v>
      </c>
      <c r="AY50" s="54">
        <v>20235920003523</v>
      </c>
    </row>
    <row r="51" spans="2:51" s="37" customFormat="1" ht="17.25" customHeight="1" x14ac:dyDescent="0.25">
      <c r="B51" s="38">
        <v>50</v>
      </c>
      <c r="C51" s="39">
        <v>2023</v>
      </c>
      <c r="D51" s="40" t="s">
        <v>515</v>
      </c>
      <c r="E51" s="41" t="s">
        <v>96</v>
      </c>
      <c r="F51" s="40" t="s">
        <v>97</v>
      </c>
      <c r="G51" s="40" t="s">
        <v>98</v>
      </c>
      <c r="H51" s="41" t="s">
        <v>516</v>
      </c>
      <c r="I51" s="25" t="s">
        <v>517</v>
      </c>
      <c r="J51" s="42" t="s">
        <v>127</v>
      </c>
      <c r="K51" s="42" t="s">
        <v>518</v>
      </c>
      <c r="L51" s="26">
        <v>1020714041</v>
      </c>
      <c r="M51" s="43" t="s">
        <v>519</v>
      </c>
      <c r="N51" s="44" t="s">
        <v>130</v>
      </c>
      <c r="O51" s="45">
        <f>469200000+20853333</f>
        <v>490053333</v>
      </c>
      <c r="P51" s="44">
        <v>44957</v>
      </c>
      <c r="Q51" s="43" t="s">
        <v>520</v>
      </c>
      <c r="R51" s="46">
        <v>44958</v>
      </c>
      <c r="S51" s="45" t="s">
        <v>106</v>
      </c>
      <c r="T51" s="46">
        <v>44958</v>
      </c>
      <c r="U51" s="45">
        <v>54400000</v>
      </c>
      <c r="V51" s="43" t="s">
        <v>521</v>
      </c>
      <c r="W51" s="44" t="s">
        <v>522</v>
      </c>
      <c r="X51" s="47">
        <f>54400000+20853333</f>
        <v>75253333</v>
      </c>
      <c r="Y51" s="46">
        <v>45199</v>
      </c>
      <c r="Z51" s="48" t="s">
        <v>109</v>
      </c>
      <c r="AA51" s="49"/>
      <c r="AB51" s="48"/>
      <c r="AC51" s="26"/>
      <c r="AD51" s="48"/>
      <c r="AE51" s="49"/>
      <c r="AF51" s="49">
        <v>45196</v>
      </c>
      <c r="AG51" s="45">
        <v>20853333</v>
      </c>
      <c r="AH51" s="50">
        <f>U51+AG51</f>
        <v>75253333</v>
      </c>
      <c r="AI51" s="48" t="s">
        <v>523</v>
      </c>
      <c r="AJ51" s="49">
        <v>45196</v>
      </c>
      <c r="AK51" s="49">
        <v>45196</v>
      </c>
      <c r="AL51" s="42" t="s">
        <v>524</v>
      </c>
      <c r="AM51" s="48" t="s">
        <v>523</v>
      </c>
      <c r="AN51" s="49">
        <v>45196</v>
      </c>
      <c r="AO51" s="38"/>
      <c r="AP51" s="38"/>
      <c r="AQ51" s="38"/>
      <c r="AR51" s="38"/>
      <c r="AS51" s="38"/>
      <c r="AT51" s="51"/>
      <c r="AU51" s="52"/>
      <c r="AV51" s="53">
        <v>45291</v>
      </c>
      <c r="AW51" s="41" t="s">
        <v>56</v>
      </c>
      <c r="AX51" s="40" t="s">
        <v>111</v>
      </c>
      <c r="AY51" s="54">
        <v>20235920001133</v>
      </c>
    </row>
    <row r="52" spans="2:51" s="37" customFormat="1" ht="17.25" customHeight="1" x14ac:dyDescent="0.25">
      <c r="B52" s="38">
        <v>51</v>
      </c>
      <c r="C52" s="39">
        <v>2023</v>
      </c>
      <c r="D52" s="40" t="s">
        <v>525</v>
      </c>
      <c r="E52" s="41" t="s">
        <v>96</v>
      </c>
      <c r="F52" s="40" t="s">
        <v>97</v>
      </c>
      <c r="G52" s="40" t="s">
        <v>98</v>
      </c>
      <c r="H52" s="41" t="s">
        <v>526</v>
      </c>
      <c r="I52" s="25" t="s">
        <v>527</v>
      </c>
      <c r="J52" s="42" t="s">
        <v>528</v>
      </c>
      <c r="K52" s="42" t="s">
        <v>529</v>
      </c>
      <c r="L52" s="26">
        <v>1032468463</v>
      </c>
      <c r="M52" s="43">
        <v>926</v>
      </c>
      <c r="N52" s="44">
        <v>44944</v>
      </c>
      <c r="O52" s="45">
        <v>80960000</v>
      </c>
      <c r="P52" s="44">
        <v>44957</v>
      </c>
      <c r="Q52" s="43" t="s">
        <v>530</v>
      </c>
      <c r="R52" s="46">
        <v>44959</v>
      </c>
      <c r="S52" s="45" t="s">
        <v>183</v>
      </c>
      <c r="T52" s="46">
        <v>44959</v>
      </c>
      <c r="U52" s="45">
        <v>77440000</v>
      </c>
      <c r="V52" s="43">
        <v>918</v>
      </c>
      <c r="W52" s="44">
        <v>44959</v>
      </c>
      <c r="X52" s="47">
        <v>77440000</v>
      </c>
      <c r="Y52" s="46">
        <v>45292</v>
      </c>
      <c r="Z52" s="48" t="s">
        <v>120</v>
      </c>
      <c r="AA52" s="49"/>
      <c r="AB52" s="48"/>
      <c r="AC52" s="26"/>
      <c r="AD52" s="48"/>
      <c r="AE52" s="49"/>
      <c r="AF52" s="48"/>
      <c r="AG52" s="45"/>
      <c r="AH52" s="50">
        <f>U52+AG52</f>
        <v>77440000</v>
      </c>
      <c r="AI52" s="48"/>
      <c r="AJ52" s="48"/>
      <c r="AK52" s="48"/>
      <c r="AL52" s="42"/>
      <c r="AM52" s="48"/>
      <c r="AN52" s="48"/>
      <c r="AO52" s="38"/>
      <c r="AP52" s="38"/>
      <c r="AQ52" s="38"/>
      <c r="AR52" s="38"/>
      <c r="AS52" s="38"/>
      <c r="AT52" s="51"/>
      <c r="AU52" s="52"/>
      <c r="AV52" s="38"/>
      <c r="AW52" s="41" t="s">
        <v>56</v>
      </c>
      <c r="AX52" s="40" t="s">
        <v>195</v>
      </c>
      <c r="AY52" s="54" t="s">
        <v>121</v>
      </c>
    </row>
    <row r="53" spans="2:51" s="37" customFormat="1" ht="17.25" customHeight="1" x14ac:dyDescent="0.25">
      <c r="B53" s="38">
        <v>52</v>
      </c>
      <c r="C53" s="39">
        <v>2023</v>
      </c>
      <c r="D53" s="40" t="s">
        <v>531</v>
      </c>
      <c r="E53" s="41" t="s">
        <v>153</v>
      </c>
      <c r="F53" s="40" t="s">
        <v>97</v>
      </c>
      <c r="G53" s="40" t="s">
        <v>98</v>
      </c>
      <c r="H53" s="41" t="s">
        <v>532</v>
      </c>
      <c r="I53" s="25" t="s">
        <v>533</v>
      </c>
      <c r="J53" s="42" t="s">
        <v>127</v>
      </c>
      <c r="K53" s="42" t="s">
        <v>534</v>
      </c>
      <c r="L53" s="26">
        <v>1136886511</v>
      </c>
      <c r="M53" s="43">
        <v>891</v>
      </c>
      <c r="N53" s="44">
        <v>44943</v>
      </c>
      <c r="O53" s="45">
        <v>469200000</v>
      </c>
      <c r="P53" s="44">
        <v>44957</v>
      </c>
      <c r="Q53" s="43" t="s">
        <v>535</v>
      </c>
      <c r="R53" s="46">
        <v>44958</v>
      </c>
      <c r="S53" s="45" t="s">
        <v>183</v>
      </c>
      <c r="T53" s="46">
        <v>44958</v>
      </c>
      <c r="U53" s="45">
        <v>74800000</v>
      </c>
      <c r="V53" s="43">
        <v>903</v>
      </c>
      <c r="W53" s="44">
        <v>44958</v>
      </c>
      <c r="X53" s="47">
        <v>74800000</v>
      </c>
      <c r="Y53" s="46">
        <v>45290</v>
      </c>
      <c r="Z53" s="48" t="s">
        <v>120</v>
      </c>
      <c r="AA53" s="49"/>
      <c r="AB53" s="48"/>
      <c r="AC53" s="26"/>
      <c r="AD53" s="48"/>
      <c r="AE53" s="49"/>
      <c r="AF53" s="48"/>
      <c r="AG53" s="45"/>
      <c r="AH53" s="50">
        <f>U53+AG53</f>
        <v>74800000</v>
      </c>
      <c r="AI53" s="48"/>
      <c r="AJ53" s="48"/>
      <c r="AK53" s="48"/>
      <c r="AL53" s="42"/>
      <c r="AM53" s="48"/>
      <c r="AN53" s="48"/>
      <c r="AO53" s="38"/>
      <c r="AP53" s="38"/>
      <c r="AQ53" s="38"/>
      <c r="AR53" s="38"/>
      <c r="AS53" s="38"/>
      <c r="AT53" s="51"/>
      <c r="AU53" s="52"/>
      <c r="AV53" s="38"/>
      <c r="AW53" s="41" t="s">
        <v>56</v>
      </c>
      <c r="AX53" s="40" t="s">
        <v>111</v>
      </c>
      <c r="AY53" s="54">
        <v>20235920001133</v>
      </c>
    </row>
    <row r="54" spans="2:51" s="37" customFormat="1" ht="17.25" customHeight="1" x14ac:dyDescent="0.25">
      <c r="B54" s="38">
        <v>53</v>
      </c>
      <c r="C54" s="39">
        <v>2023</v>
      </c>
      <c r="D54" s="40" t="s">
        <v>536</v>
      </c>
      <c r="E54" s="41" t="s">
        <v>153</v>
      </c>
      <c r="F54" s="40" t="s">
        <v>97</v>
      </c>
      <c r="G54" s="40" t="s">
        <v>98</v>
      </c>
      <c r="H54" s="41" t="s">
        <v>537</v>
      </c>
      <c r="I54" s="25" t="s">
        <v>538</v>
      </c>
      <c r="J54" s="42" t="s">
        <v>539</v>
      </c>
      <c r="K54" s="42" t="s">
        <v>540</v>
      </c>
      <c r="L54" s="26">
        <v>14320959</v>
      </c>
      <c r="M54" s="43" t="s">
        <v>541</v>
      </c>
      <c r="N54" s="44" t="s">
        <v>542</v>
      </c>
      <c r="O54" s="45">
        <f>159000000+18726667</f>
        <v>177726667</v>
      </c>
      <c r="P54" s="44">
        <v>44957</v>
      </c>
      <c r="Q54" s="43" t="s">
        <v>543</v>
      </c>
      <c r="R54" s="46">
        <v>44959</v>
      </c>
      <c r="S54" s="45" t="s">
        <v>162</v>
      </c>
      <c r="T54" s="46">
        <v>44959</v>
      </c>
      <c r="U54" s="45">
        <v>39750000</v>
      </c>
      <c r="V54" s="43" t="s">
        <v>544</v>
      </c>
      <c r="W54" s="44" t="s">
        <v>545</v>
      </c>
      <c r="X54" s="47">
        <f>39750000+18726667</f>
        <v>58476667</v>
      </c>
      <c r="Y54" s="46">
        <v>45185</v>
      </c>
      <c r="Z54" s="48" t="s">
        <v>109</v>
      </c>
      <c r="AA54" s="49"/>
      <c r="AB54" s="48"/>
      <c r="AC54" s="26"/>
      <c r="AD54" s="48"/>
      <c r="AE54" s="49"/>
      <c r="AF54" s="49">
        <v>45184</v>
      </c>
      <c r="AG54" s="45">
        <v>18726667</v>
      </c>
      <c r="AH54" s="50">
        <f>U54+AG54</f>
        <v>58476667</v>
      </c>
      <c r="AI54" s="48" t="s">
        <v>543</v>
      </c>
      <c r="AJ54" s="49">
        <v>45184</v>
      </c>
      <c r="AK54" s="49">
        <v>45184</v>
      </c>
      <c r="AL54" s="42" t="s">
        <v>281</v>
      </c>
      <c r="AM54" s="48" t="s">
        <v>543</v>
      </c>
      <c r="AN54" s="49">
        <v>45184</v>
      </c>
      <c r="AO54" s="38"/>
      <c r="AP54" s="38"/>
      <c r="AQ54" s="38"/>
      <c r="AR54" s="38"/>
      <c r="AS54" s="38"/>
      <c r="AT54" s="51"/>
      <c r="AU54" s="52"/>
      <c r="AV54" s="53">
        <v>45291</v>
      </c>
      <c r="AW54" s="41" t="s">
        <v>56</v>
      </c>
      <c r="AX54" s="40" t="s">
        <v>145</v>
      </c>
      <c r="AY54" s="54">
        <v>20235920001683</v>
      </c>
    </row>
    <row r="55" spans="2:51" s="37" customFormat="1" ht="17.25" customHeight="1" x14ac:dyDescent="0.25">
      <c r="B55" s="38">
        <v>54</v>
      </c>
      <c r="C55" s="39">
        <v>2023</v>
      </c>
      <c r="D55" s="40" t="s">
        <v>546</v>
      </c>
      <c r="E55" s="41" t="s">
        <v>155</v>
      </c>
      <c r="F55" s="40" t="s">
        <v>97</v>
      </c>
      <c r="G55" s="40" t="s">
        <v>98</v>
      </c>
      <c r="H55" s="41" t="s">
        <v>547</v>
      </c>
      <c r="I55" s="25" t="s">
        <v>548</v>
      </c>
      <c r="J55" s="42" t="s">
        <v>549</v>
      </c>
      <c r="K55" s="42" t="s">
        <v>550</v>
      </c>
      <c r="L55" s="26">
        <v>1013599048</v>
      </c>
      <c r="M55" s="43">
        <v>936</v>
      </c>
      <c r="N55" s="44">
        <v>44952</v>
      </c>
      <c r="O55" s="45">
        <v>135600000</v>
      </c>
      <c r="P55" s="44">
        <v>44960</v>
      </c>
      <c r="Q55" s="43" t="s">
        <v>551</v>
      </c>
      <c r="R55" s="46">
        <v>44960</v>
      </c>
      <c r="S55" s="45" t="s">
        <v>162</v>
      </c>
      <c r="T55" s="46">
        <v>44963</v>
      </c>
      <c r="U55" s="45">
        <v>33900000</v>
      </c>
      <c r="V55" s="43">
        <v>922</v>
      </c>
      <c r="W55" s="44">
        <v>44960</v>
      </c>
      <c r="X55" s="47">
        <v>33900000</v>
      </c>
      <c r="Y55" s="46">
        <v>45189</v>
      </c>
      <c r="Z55" s="48" t="s">
        <v>120</v>
      </c>
      <c r="AA55" s="49" t="s">
        <v>121</v>
      </c>
      <c r="AB55" s="48" t="s">
        <v>121</v>
      </c>
      <c r="AC55" s="48" t="s">
        <v>121</v>
      </c>
      <c r="AD55" s="48" t="s">
        <v>121</v>
      </c>
      <c r="AE55" s="48" t="s">
        <v>121</v>
      </c>
      <c r="AF55" s="48" t="s">
        <v>121</v>
      </c>
      <c r="AG55" s="48" t="s">
        <v>121</v>
      </c>
      <c r="AH55" s="48" t="s">
        <v>121</v>
      </c>
      <c r="AI55" s="48" t="s">
        <v>121</v>
      </c>
      <c r="AJ55" s="48" t="s">
        <v>121</v>
      </c>
      <c r="AK55" s="48" t="s">
        <v>121</v>
      </c>
      <c r="AL55" s="48" t="s">
        <v>121</v>
      </c>
      <c r="AM55" s="48" t="s">
        <v>121</v>
      </c>
      <c r="AN55" s="48" t="s">
        <v>121</v>
      </c>
      <c r="AO55" s="38" t="s">
        <v>121</v>
      </c>
      <c r="AP55" s="38" t="s">
        <v>121</v>
      </c>
      <c r="AQ55" s="38" t="s">
        <v>121</v>
      </c>
      <c r="AR55" s="38" t="s">
        <v>121</v>
      </c>
      <c r="AS55" s="38" t="s">
        <v>121</v>
      </c>
      <c r="AT55" s="38" t="s">
        <v>121</v>
      </c>
      <c r="AU55" s="38" t="s">
        <v>121</v>
      </c>
      <c r="AV55" s="38" t="s">
        <v>121</v>
      </c>
      <c r="AW55" s="41" t="s">
        <v>122</v>
      </c>
      <c r="AX55" s="40" t="s">
        <v>552</v>
      </c>
      <c r="AY55" s="54">
        <v>20235920002103</v>
      </c>
    </row>
    <row r="56" spans="2:51" s="37" customFormat="1" ht="26.25" x14ac:dyDescent="0.25">
      <c r="B56" s="38">
        <v>55</v>
      </c>
      <c r="C56" s="39">
        <v>2023</v>
      </c>
      <c r="D56" s="40" t="s">
        <v>553</v>
      </c>
      <c r="E56" s="41" t="s">
        <v>155</v>
      </c>
      <c r="F56" s="40" t="s">
        <v>97</v>
      </c>
      <c r="G56" s="40" t="s">
        <v>98</v>
      </c>
      <c r="H56" s="41" t="s">
        <v>554</v>
      </c>
      <c r="I56" s="25" t="s">
        <v>555</v>
      </c>
      <c r="J56" s="42" t="s">
        <v>549</v>
      </c>
      <c r="K56" s="42" t="s">
        <v>556</v>
      </c>
      <c r="L56" s="26">
        <v>24334800</v>
      </c>
      <c r="M56" s="43" t="s">
        <v>557</v>
      </c>
      <c r="N56" s="44" t="s">
        <v>447</v>
      </c>
      <c r="O56" s="45">
        <f>135600000+15368000</f>
        <v>150968000</v>
      </c>
      <c r="P56" s="44">
        <v>44960</v>
      </c>
      <c r="Q56" s="43" t="s">
        <v>558</v>
      </c>
      <c r="R56" s="46">
        <v>44960</v>
      </c>
      <c r="S56" s="45" t="s">
        <v>162</v>
      </c>
      <c r="T56" s="46">
        <v>44963</v>
      </c>
      <c r="U56" s="45">
        <v>33900000</v>
      </c>
      <c r="V56" s="43" t="s">
        <v>559</v>
      </c>
      <c r="W56" s="44" t="s">
        <v>458</v>
      </c>
      <c r="X56" s="47">
        <f>33900000+15368000</f>
        <v>49268000</v>
      </c>
      <c r="Y56" s="46">
        <v>45189</v>
      </c>
      <c r="Z56" s="48" t="s">
        <v>109</v>
      </c>
      <c r="AA56" s="49"/>
      <c r="AB56" s="48"/>
      <c r="AC56" s="26"/>
      <c r="AD56" s="48"/>
      <c r="AE56" s="49"/>
      <c r="AF56" s="49">
        <v>45188</v>
      </c>
      <c r="AG56" s="45">
        <v>15368000</v>
      </c>
      <c r="AH56" s="50">
        <f>U56+AG56</f>
        <v>49268000</v>
      </c>
      <c r="AI56" s="48" t="s">
        <v>558</v>
      </c>
      <c r="AJ56" s="49">
        <v>45189</v>
      </c>
      <c r="AK56" s="49">
        <v>45188</v>
      </c>
      <c r="AL56" s="42" t="s">
        <v>441</v>
      </c>
      <c r="AM56" s="48" t="s">
        <v>558</v>
      </c>
      <c r="AN56" s="49">
        <v>45189</v>
      </c>
      <c r="AO56" s="38"/>
      <c r="AP56" s="38"/>
      <c r="AQ56" s="38"/>
      <c r="AR56" s="38"/>
      <c r="AS56" s="38"/>
      <c r="AT56" s="51"/>
      <c r="AU56" s="52"/>
      <c r="AV56" s="53">
        <v>45291</v>
      </c>
      <c r="AW56" s="41" t="s">
        <v>56</v>
      </c>
      <c r="AX56" s="40" t="s">
        <v>552</v>
      </c>
      <c r="AY56" s="54">
        <v>20235920002103</v>
      </c>
    </row>
    <row r="57" spans="2:51" s="37" customFormat="1" ht="17.25" customHeight="1" x14ac:dyDescent="0.25">
      <c r="B57" s="38">
        <v>56</v>
      </c>
      <c r="C57" s="39">
        <v>2023</v>
      </c>
      <c r="D57" s="40" t="s">
        <v>560</v>
      </c>
      <c r="E57" s="41" t="s">
        <v>128</v>
      </c>
      <c r="F57" s="40" t="s">
        <v>97</v>
      </c>
      <c r="G57" s="40" t="s">
        <v>98</v>
      </c>
      <c r="H57" s="41" t="s">
        <v>561</v>
      </c>
      <c r="I57" s="25" t="s">
        <v>562</v>
      </c>
      <c r="J57" s="42" t="s">
        <v>563</v>
      </c>
      <c r="K57" s="42" t="s">
        <v>564</v>
      </c>
      <c r="L57" s="26">
        <v>1030611428</v>
      </c>
      <c r="M57" s="43">
        <v>878</v>
      </c>
      <c r="N57" s="44">
        <v>44943</v>
      </c>
      <c r="O57" s="45">
        <v>60000000</v>
      </c>
      <c r="P57" s="44">
        <v>44957</v>
      </c>
      <c r="Q57" s="43" t="s">
        <v>565</v>
      </c>
      <c r="R57" s="46">
        <v>44959</v>
      </c>
      <c r="S57" s="45" t="s">
        <v>119</v>
      </c>
      <c r="T57" s="46">
        <v>44963</v>
      </c>
      <c r="U57" s="45">
        <v>30000000</v>
      </c>
      <c r="V57" s="43">
        <v>910</v>
      </c>
      <c r="W57" s="44">
        <v>44959</v>
      </c>
      <c r="X57" s="47">
        <v>30000000</v>
      </c>
      <c r="Y57" s="46">
        <v>45112</v>
      </c>
      <c r="Z57" s="48" t="s">
        <v>109</v>
      </c>
      <c r="AA57" s="49" t="s">
        <v>121</v>
      </c>
      <c r="AB57" s="49" t="s">
        <v>121</v>
      </c>
      <c r="AC57" s="26" t="s">
        <v>121</v>
      </c>
      <c r="AD57" s="49" t="s">
        <v>121</v>
      </c>
      <c r="AE57" s="49" t="s">
        <v>121</v>
      </c>
      <c r="AF57" s="48" t="s">
        <v>121</v>
      </c>
      <c r="AG57" s="48" t="s">
        <v>121</v>
      </c>
      <c r="AH57" s="48" t="s">
        <v>121</v>
      </c>
      <c r="AI57" s="48" t="s">
        <v>121</v>
      </c>
      <c r="AJ57" s="48" t="s">
        <v>121</v>
      </c>
      <c r="AK57" s="48" t="s">
        <v>121</v>
      </c>
      <c r="AL57" s="42" t="s">
        <v>121</v>
      </c>
      <c r="AM57" s="48" t="s">
        <v>121</v>
      </c>
      <c r="AN57" s="48" t="s">
        <v>121</v>
      </c>
      <c r="AO57" s="49" t="s">
        <v>121</v>
      </c>
      <c r="AP57" s="49" t="s">
        <v>121</v>
      </c>
      <c r="AQ57" s="49" t="s">
        <v>121</v>
      </c>
      <c r="AR57" s="49" t="s">
        <v>121</v>
      </c>
      <c r="AS57" s="49" t="s">
        <v>121</v>
      </c>
      <c r="AT57" s="49" t="s">
        <v>121</v>
      </c>
      <c r="AU57" s="49" t="s">
        <v>121</v>
      </c>
      <c r="AV57" s="53">
        <v>45103</v>
      </c>
      <c r="AW57" s="40" t="s">
        <v>152</v>
      </c>
      <c r="AX57" s="40" t="s">
        <v>566</v>
      </c>
      <c r="AY57" s="54">
        <v>20235920002973</v>
      </c>
    </row>
    <row r="58" spans="2:51" s="37" customFormat="1" ht="17.25" customHeight="1" x14ac:dyDescent="0.25">
      <c r="B58" s="38">
        <v>57</v>
      </c>
      <c r="C58" s="39">
        <v>2023</v>
      </c>
      <c r="D58" s="40" t="s">
        <v>567</v>
      </c>
      <c r="E58" s="41" t="s">
        <v>128</v>
      </c>
      <c r="F58" s="40" t="s">
        <v>97</v>
      </c>
      <c r="G58" s="40" t="s">
        <v>98</v>
      </c>
      <c r="H58" s="41" t="s">
        <v>568</v>
      </c>
      <c r="I58" s="25" t="s">
        <v>569</v>
      </c>
      <c r="J58" s="42" t="s">
        <v>569</v>
      </c>
      <c r="K58" s="42" t="s">
        <v>570</v>
      </c>
      <c r="L58" s="26">
        <v>79855996</v>
      </c>
      <c r="M58" s="43">
        <v>924</v>
      </c>
      <c r="N58" s="44">
        <v>44944</v>
      </c>
      <c r="O58" s="45">
        <v>90000000</v>
      </c>
      <c r="P58" s="43" t="s">
        <v>569</v>
      </c>
      <c r="Q58" s="43" t="s">
        <v>569</v>
      </c>
      <c r="R58" s="43" t="s">
        <v>569</v>
      </c>
      <c r="S58" s="43" t="s">
        <v>569</v>
      </c>
      <c r="T58" s="43" t="s">
        <v>569</v>
      </c>
      <c r="U58" s="43" t="s">
        <v>569</v>
      </c>
      <c r="V58" s="43" t="s">
        <v>569</v>
      </c>
      <c r="W58" s="44" t="s">
        <v>569</v>
      </c>
      <c r="X58" s="43" t="s">
        <v>569</v>
      </c>
      <c r="Y58" s="43" t="s">
        <v>569</v>
      </c>
      <c r="Z58" s="48" t="s">
        <v>120</v>
      </c>
      <c r="AA58" s="49" t="s">
        <v>121</v>
      </c>
      <c r="AB58" s="49" t="s">
        <v>121</v>
      </c>
      <c r="AC58" s="26" t="s">
        <v>121</v>
      </c>
      <c r="AD58" s="49" t="s">
        <v>121</v>
      </c>
      <c r="AE58" s="49" t="s">
        <v>121</v>
      </c>
      <c r="AF58" s="49" t="s">
        <v>121</v>
      </c>
      <c r="AG58" s="45" t="s">
        <v>121</v>
      </c>
      <c r="AH58" s="49" t="s">
        <v>121</v>
      </c>
      <c r="AI58" s="48" t="s">
        <v>121</v>
      </c>
      <c r="AJ58" s="49" t="s">
        <v>121</v>
      </c>
      <c r="AK58" s="49" t="s">
        <v>121</v>
      </c>
      <c r="AL58" s="42" t="s">
        <v>121</v>
      </c>
      <c r="AM58" s="48" t="s">
        <v>121</v>
      </c>
      <c r="AN58" s="48" t="s">
        <v>121</v>
      </c>
      <c r="AO58" s="49" t="s">
        <v>121</v>
      </c>
      <c r="AP58" s="49" t="s">
        <v>121</v>
      </c>
      <c r="AQ58" s="49" t="s">
        <v>121</v>
      </c>
      <c r="AR58" s="49" t="s">
        <v>121</v>
      </c>
      <c r="AS58" s="49" t="s">
        <v>121</v>
      </c>
      <c r="AT58" s="49" t="s">
        <v>121</v>
      </c>
      <c r="AU58" s="49" t="s">
        <v>121</v>
      </c>
      <c r="AV58" s="49" t="s">
        <v>121</v>
      </c>
      <c r="AW58" s="41" t="s">
        <v>569</v>
      </c>
      <c r="AX58" s="41" t="s">
        <v>569</v>
      </c>
      <c r="AY58" s="54" t="s">
        <v>569</v>
      </c>
    </row>
    <row r="59" spans="2:51" s="37" customFormat="1" ht="17.25" customHeight="1" x14ac:dyDescent="0.25">
      <c r="B59" s="38">
        <v>58</v>
      </c>
      <c r="C59" s="39">
        <v>2023</v>
      </c>
      <c r="D59" s="40" t="s">
        <v>571</v>
      </c>
      <c r="E59" s="41" t="s">
        <v>128</v>
      </c>
      <c r="F59" s="40" t="s">
        <v>97</v>
      </c>
      <c r="G59" s="40" t="s">
        <v>98</v>
      </c>
      <c r="H59" s="41" t="s">
        <v>572</v>
      </c>
      <c r="I59" s="25" t="s">
        <v>573</v>
      </c>
      <c r="J59" s="42" t="s">
        <v>574</v>
      </c>
      <c r="K59" s="42" t="s">
        <v>575</v>
      </c>
      <c r="L59" s="26">
        <v>52554321</v>
      </c>
      <c r="M59" s="43" t="s">
        <v>342</v>
      </c>
      <c r="N59" s="44">
        <v>44944</v>
      </c>
      <c r="O59" s="45">
        <v>96000000</v>
      </c>
      <c r="P59" s="44">
        <v>44957</v>
      </c>
      <c r="Q59" s="43" t="s">
        <v>576</v>
      </c>
      <c r="R59" s="46">
        <v>44959</v>
      </c>
      <c r="S59" s="45" t="s">
        <v>344</v>
      </c>
      <c r="T59" s="46">
        <v>44959</v>
      </c>
      <c r="U59" s="45">
        <v>24000000</v>
      </c>
      <c r="V59" s="43">
        <v>912</v>
      </c>
      <c r="W59" s="44">
        <v>44959</v>
      </c>
      <c r="X59" s="47">
        <v>24000000</v>
      </c>
      <c r="Y59" s="46">
        <v>45078</v>
      </c>
      <c r="Z59" s="48" t="s">
        <v>120</v>
      </c>
      <c r="AA59" s="49" t="s">
        <v>121</v>
      </c>
      <c r="AB59" s="49" t="s">
        <v>121</v>
      </c>
      <c r="AC59" s="26" t="s">
        <v>121</v>
      </c>
      <c r="AD59" s="49" t="s">
        <v>121</v>
      </c>
      <c r="AE59" s="49" t="s">
        <v>121</v>
      </c>
      <c r="AF59" s="48"/>
      <c r="AG59" s="45"/>
      <c r="AH59" s="50">
        <f>U59+AG59</f>
        <v>24000000</v>
      </c>
      <c r="AI59" s="50" t="s">
        <v>121</v>
      </c>
      <c r="AJ59" s="50" t="s">
        <v>121</v>
      </c>
      <c r="AK59" s="50" t="s">
        <v>121</v>
      </c>
      <c r="AL59" s="50" t="s">
        <v>121</v>
      </c>
      <c r="AM59" s="50" t="s">
        <v>121</v>
      </c>
      <c r="AN59" s="50" t="s">
        <v>121</v>
      </c>
      <c r="AO59" s="50" t="s">
        <v>121</v>
      </c>
      <c r="AP59" s="50" t="s">
        <v>121</v>
      </c>
      <c r="AQ59" s="50" t="s">
        <v>121</v>
      </c>
      <c r="AR59" s="50" t="s">
        <v>121</v>
      </c>
      <c r="AS59" s="50" t="s">
        <v>121</v>
      </c>
      <c r="AT59" s="50" t="s">
        <v>121</v>
      </c>
      <c r="AU59" s="50" t="s">
        <v>121</v>
      </c>
      <c r="AV59" s="49" t="s">
        <v>121</v>
      </c>
      <c r="AW59" s="41" t="s">
        <v>122</v>
      </c>
      <c r="AX59" s="40" t="s">
        <v>345</v>
      </c>
      <c r="AY59" s="54">
        <v>20235920003383</v>
      </c>
    </row>
    <row r="60" spans="2:51" s="37" customFormat="1" ht="26.25" x14ac:dyDescent="0.25">
      <c r="B60" s="38">
        <v>59</v>
      </c>
      <c r="C60" s="39">
        <v>2023</v>
      </c>
      <c r="D60" s="40" t="s">
        <v>577</v>
      </c>
      <c r="E60" s="41" t="s">
        <v>128</v>
      </c>
      <c r="F60" s="40" t="s">
        <v>97</v>
      </c>
      <c r="G60" s="40" t="s">
        <v>98</v>
      </c>
      <c r="H60" s="41" t="s">
        <v>578</v>
      </c>
      <c r="I60" s="25" t="s">
        <v>579</v>
      </c>
      <c r="J60" s="42" t="s">
        <v>580</v>
      </c>
      <c r="K60" s="42" t="s">
        <v>581</v>
      </c>
      <c r="L60" s="26">
        <v>1026585031</v>
      </c>
      <c r="M60" s="43" t="s">
        <v>582</v>
      </c>
      <c r="N60" s="44" t="s">
        <v>447</v>
      </c>
      <c r="O60" s="45">
        <f>37500000+17000000</f>
        <v>54500000</v>
      </c>
      <c r="P60" s="44">
        <v>44960</v>
      </c>
      <c r="Q60" s="43" t="s">
        <v>583</v>
      </c>
      <c r="R60" s="46">
        <v>44963</v>
      </c>
      <c r="S60" s="45" t="s">
        <v>162</v>
      </c>
      <c r="T60" s="46">
        <v>44963</v>
      </c>
      <c r="U60" s="45">
        <v>37500000</v>
      </c>
      <c r="V60" s="43" t="s">
        <v>584</v>
      </c>
      <c r="W60" s="44" t="s">
        <v>585</v>
      </c>
      <c r="X60" s="47">
        <f>37500000+17000000</f>
        <v>54500000</v>
      </c>
      <c r="Y60" s="46">
        <v>45189</v>
      </c>
      <c r="Z60" s="48" t="s">
        <v>109</v>
      </c>
      <c r="AA60" s="49"/>
      <c r="AB60" s="48"/>
      <c r="AC60" s="26"/>
      <c r="AD60" s="48"/>
      <c r="AE60" s="49"/>
      <c r="AF60" s="49">
        <v>45188</v>
      </c>
      <c r="AG60" s="45">
        <v>17000000</v>
      </c>
      <c r="AH60" s="50">
        <f>U60+AG60</f>
        <v>54500000</v>
      </c>
      <c r="AI60" s="48" t="s">
        <v>583</v>
      </c>
      <c r="AJ60" s="49">
        <v>45191</v>
      </c>
      <c r="AK60" s="49">
        <v>45188</v>
      </c>
      <c r="AL60" s="42" t="s">
        <v>441</v>
      </c>
      <c r="AM60" s="48" t="s">
        <v>583</v>
      </c>
      <c r="AN60" s="49">
        <v>45191</v>
      </c>
      <c r="AO60" s="38"/>
      <c r="AP60" s="38"/>
      <c r="AQ60" s="38"/>
      <c r="AR60" s="38"/>
      <c r="AS60" s="38"/>
      <c r="AT60" s="51"/>
      <c r="AU60" s="52"/>
      <c r="AV60" s="53">
        <v>45291</v>
      </c>
      <c r="AW60" s="41" t="s">
        <v>56</v>
      </c>
      <c r="AX60" s="40" t="s">
        <v>493</v>
      </c>
      <c r="AY60" s="54">
        <v>20235920001343</v>
      </c>
    </row>
    <row r="61" spans="2:51" s="37" customFormat="1" ht="15" x14ac:dyDescent="0.25">
      <c r="B61" s="38">
        <v>60</v>
      </c>
      <c r="C61" s="39">
        <v>2023</v>
      </c>
      <c r="D61" s="40" t="s">
        <v>586</v>
      </c>
      <c r="E61" s="41" t="s">
        <v>199</v>
      </c>
      <c r="F61" s="40" t="s">
        <v>97</v>
      </c>
      <c r="G61" s="40" t="s">
        <v>98</v>
      </c>
      <c r="H61" s="41" t="s">
        <v>587</v>
      </c>
      <c r="I61" s="25" t="s">
        <v>588</v>
      </c>
      <c r="J61" s="42" t="s">
        <v>116</v>
      </c>
      <c r="K61" s="42" t="s">
        <v>589</v>
      </c>
      <c r="L61" s="26">
        <v>80418976</v>
      </c>
      <c r="M61" s="43">
        <v>907</v>
      </c>
      <c r="N61" s="44">
        <v>44944</v>
      </c>
      <c r="O61" s="45">
        <v>112500000</v>
      </c>
      <c r="P61" s="44">
        <v>44957</v>
      </c>
      <c r="Q61" s="43" t="s">
        <v>590</v>
      </c>
      <c r="R61" s="46">
        <v>44958</v>
      </c>
      <c r="S61" s="45" t="s">
        <v>119</v>
      </c>
      <c r="T61" s="46">
        <v>44958</v>
      </c>
      <c r="U61" s="45">
        <v>12500000</v>
      </c>
      <c r="V61" s="43">
        <v>898</v>
      </c>
      <c r="W61" s="44">
        <v>44958</v>
      </c>
      <c r="X61" s="47">
        <v>12500000</v>
      </c>
      <c r="Y61" s="46">
        <v>45107</v>
      </c>
      <c r="Z61" s="48" t="s">
        <v>109</v>
      </c>
      <c r="AA61" s="49" t="s">
        <v>121</v>
      </c>
      <c r="AB61" s="49" t="s">
        <v>121</v>
      </c>
      <c r="AC61" s="26" t="s">
        <v>121</v>
      </c>
      <c r="AD61" s="49" t="s">
        <v>121</v>
      </c>
      <c r="AE61" s="49" t="s">
        <v>121</v>
      </c>
      <c r="AF61" s="48"/>
      <c r="AG61" s="45"/>
      <c r="AH61" s="50">
        <f>U61+AG61</f>
        <v>12500000</v>
      </c>
      <c r="AI61" s="50" t="s">
        <v>121</v>
      </c>
      <c r="AJ61" s="50" t="s">
        <v>121</v>
      </c>
      <c r="AK61" s="50" t="s">
        <v>121</v>
      </c>
      <c r="AL61" s="50" t="s">
        <v>121</v>
      </c>
      <c r="AM61" s="50" t="s">
        <v>121</v>
      </c>
      <c r="AN61" s="50" t="s">
        <v>121</v>
      </c>
      <c r="AO61" s="50" t="s">
        <v>121</v>
      </c>
      <c r="AP61" s="50" t="s">
        <v>121</v>
      </c>
      <c r="AQ61" s="50" t="s">
        <v>121</v>
      </c>
      <c r="AR61" s="50" t="s">
        <v>121</v>
      </c>
      <c r="AS61" s="50" t="s">
        <v>121</v>
      </c>
      <c r="AT61" s="50" t="s">
        <v>121</v>
      </c>
      <c r="AU61" s="50" t="s">
        <v>121</v>
      </c>
      <c r="AV61" s="53">
        <v>45103</v>
      </c>
      <c r="AW61" s="40" t="s">
        <v>152</v>
      </c>
      <c r="AX61" s="40" t="s">
        <v>123</v>
      </c>
      <c r="AY61" s="54">
        <v>20235920001053</v>
      </c>
    </row>
    <row r="62" spans="2:51" s="37" customFormat="1" ht="15" x14ac:dyDescent="0.25">
      <c r="B62" s="38">
        <v>61</v>
      </c>
      <c r="C62" s="39">
        <v>2023</v>
      </c>
      <c r="D62" s="40" t="s">
        <v>591</v>
      </c>
      <c r="E62" s="41" t="s">
        <v>199</v>
      </c>
      <c r="F62" s="40" t="s">
        <v>97</v>
      </c>
      <c r="G62" s="40" t="s">
        <v>98</v>
      </c>
      <c r="H62" s="41" t="s">
        <v>592</v>
      </c>
      <c r="I62" s="25" t="s">
        <v>593</v>
      </c>
      <c r="J62" s="42" t="s">
        <v>116</v>
      </c>
      <c r="K62" s="42" t="s">
        <v>594</v>
      </c>
      <c r="L62" s="26">
        <v>79389118</v>
      </c>
      <c r="M62" s="43">
        <v>907</v>
      </c>
      <c r="N62" s="44">
        <v>44944</v>
      </c>
      <c r="O62" s="45">
        <v>112500000</v>
      </c>
      <c r="P62" s="44">
        <v>44957</v>
      </c>
      <c r="Q62" s="43" t="s">
        <v>595</v>
      </c>
      <c r="R62" s="46">
        <v>44958</v>
      </c>
      <c r="S62" s="45" t="s">
        <v>119</v>
      </c>
      <c r="T62" s="46">
        <v>44958</v>
      </c>
      <c r="U62" s="45">
        <v>12500000</v>
      </c>
      <c r="V62" s="43">
        <v>902</v>
      </c>
      <c r="W62" s="44">
        <v>44958</v>
      </c>
      <c r="X62" s="47">
        <v>12500000</v>
      </c>
      <c r="Y62" s="46">
        <v>45107</v>
      </c>
      <c r="Z62" s="48" t="s">
        <v>109</v>
      </c>
      <c r="AA62" s="49" t="s">
        <v>121</v>
      </c>
      <c r="AB62" s="49" t="s">
        <v>121</v>
      </c>
      <c r="AC62" s="26" t="s">
        <v>121</v>
      </c>
      <c r="AD62" s="49" t="s">
        <v>121</v>
      </c>
      <c r="AE62" s="49" t="s">
        <v>121</v>
      </c>
      <c r="AF62" s="48"/>
      <c r="AG62" s="45"/>
      <c r="AH62" s="50">
        <f>U62+AG62</f>
        <v>12500000</v>
      </c>
      <c r="AI62" s="50" t="s">
        <v>121</v>
      </c>
      <c r="AJ62" s="50" t="s">
        <v>121</v>
      </c>
      <c r="AK62" s="50" t="s">
        <v>121</v>
      </c>
      <c r="AL62" s="50" t="s">
        <v>121</v>
      </c>
      <c r="AM62" s="50" t="s">
        <v>121</v>
      </c>
      <c r="AN62" s="50" t="s">
        <v>121</v>
      </c>
      <c r="AO62" s="50" t="s">
        <v>121</v>
      </c>
      <c r="AP62" s="50" t="s">
        <v>121</v>
      </c>
      <c r="AQ62" s="50" t="s">
        <v>121</v>
      </c>
      <c r="AR62" s="50" t="s">
        <v>121</v>
      </c>
      <c r="AS62" s="50" t="s">
        <v>121</v>
      </c>
      <c r="AT62" s="50" t="s">
        <v>121</v>
      </c>
      <c r="AU62" s="50" t="s">
        <v>121</v>
      </c>
      <c r="AV62" s="53">
        <v>45103</v>
      </c>
      <c r="AW62" s="40" t="s">
        <v>152</v>
      </c>
      <c r="AX62" s="40" t="s">
        <v>123</v>
      </c>
      <c r="AY62" s="54">
        <v>20235920001053</v>
      </c>
    </row>
    <row r="63" spans="2:51" s="37" customFormat="1" ht="17.25" customHeight="1" x14ac:dyDescent="0.25">
      <c r="B63" s="38">
        <v>62</v>
      </c>
      <c r="C63" s="39">
        <v>2023</v>
      </c>
      <c r="D63" s="40" t="s">
        <v>596</v>
      </c>
      <c r="E63" s="41" t="s">
        <v>199</v>
      </c>
      <c r="F63" s="40" t="s">
        <v>97</v>
      </c>
      <c r="G63" s="40" t="s">
        <v>98</v>
      </c>
      <c r="H63" s="41" t="s">
        <v>597</v>
      </c>
      <c r="I63" s="25" t="s">
        <v>598</v>
      </c>
      <c r="J63" s="42" t="s">
        <v>599</v>
      </c>
      <c r="K63" s="42" t="s">
        <v>600</v>
      </c>
      <c r="L63" s="26">
        <v>52324766</v>
      </c>
      <c r="M63" s="43" t="s">
        <v>601</v>
      </c>
      <c r="N63" s="44" t="s">
        <v>437</v>
      </c>
      <c r="O63" s="45">
        <f>79500000+18726667</f>
        <v>98226667</v>
      </c>
      <c r="P63" s="44">
        <v>44958</v>
      </c>
      <c r="Q63" s="43" t="s">
        <v>602</v>
      </c>
      <c r="R63" s="46">
        <v>44959</v>
      </c>
      <c r="S63" s="45" t="s">
        <v>162</v>
      </c>
      <c r="T63" s="46">
        <v>44959</v>
      </c>
      <c r="U63" s="45">
        <v>39750000</v>
      </c>
      <c r="V63" s="43" t="s">
        <v>603</v>
      </c>
      <c r="W63" s="44" t="s">
        <v>545</v>
      </c>
      <c r="X63" s="47">
        <f>39750000+18726667</f>
        <v>58476667</v>
      </c>
      <c r="Y63" s="46">
        <v>45185</v>
      </c>
      <c r="Z63" s="48" t="s">
        <v>109</v>
      </c>
      <c r="AA63" s="49"/>
      <c r="AB63" s="48"/>
      <c r="AC63" s="26"/>
      <c r="AD63" s="48"/>
      <c r="AE63" s="49"/>
      <c r="AF63" s="49">
        <v>45183</v>
      </c>
      <c r="AG63" s="45">
        <v>18726667</v>
      </c>
      <c r="AH63" s="50">
        <f>U63+AG63</f>
        <v>58476667</v>
      </c>
      <c r="AI63" s="48" t="s">
        <v>602</v>
      </c>
      <c r="AJ63" s="49">
        <v>45184</v>
      </c>
      <c r="AK63" s="49">
        <v>45183</v>
      </c>
      <c r="AL63" s="42" t="s">
        <v>281</v>
      </c>
      <c r="AM63" s="48" t="s">
        <v>602</v>
      </c>
      <c r="AN63" s="49">
        <v>45184</v>
      </c>
      <c r="AO63" s="38"/>
      <c r="AP63" s="38"/>
      <c r="AQ63" s="38"/>
      <c r="AR63" s="38"/>
      <c r="AS63" s="38"/>
      <c r="AT63" s="51"/>
      <c r="AU63" s="52"/>
      <c r="AV63" s="53">
        <v>45291</v>
      </c>
      <c r="AW63" s="41" t="s">
        <v>56</v>
      </c>
      <c r="AX63" s="40" t="s">
        <v>123</v>
      </c>
      <c r="AY63" s="54">
        <v>20235920001053</v>
      </c>
    </row>
    <row r="64" spans="2:51" s="37" customFormat="1" ht="15" x14ac:dyDescent="0.25">
      <c r="B64" s="38">
        <v>63</v>
      </c>
      <c r="C64" s="39">
        <v>2023</v>
      </c>
      <c r="D64" s="40" t="s">
        <v>604</v>
      </c>
      <c r="E64" s="41" t="s">
        <v>153</v>
      </c>
      <c r="F64" s="40" t="s">
        <v>97</v>
      </c>
      <c r="G64" s="40" t="s">
        <v>98</v>
      </c>
      <c r="H64" s="41" t="s">
        <v>605</v>
      </c>
      <c r="I64" s="25" t="s">
        <v>606</v>
      </c>
      <c r="J64" s="42" t="s">
        <v>127</v>
      </c>
      <c r="K64" s="42" t="s">
        <v>134</v>
      </c>
      <c r="L64" s="26">
        <v>1026287324</v>
      </c>
      <c r="M64" s="43">
        <v>891</v>
      </c>
      <c r="N64" s="44">
        <v>44943</v>
      </c>
      <c r="O64" s="45">
        <v>469200000</v>
      </c>
      <c r="P64" s="44">
        <v>44957</v>
      </c>
      <c r="Q64" s="43" t="s">
        <v>607</v>
      </c>
      <c r="R64" s="46">
        <v>44959</v>
      </c>
      <c r="S64" s="45" t="s">
        <v>608</v>
      </c>
      <c r="T64" s="46">
        <v>44959</v>
      </c>
      <c r="U64" s="45">
        <v>13600000</v>
      </c>
      <c r="V64" s="43">
        <v>913</v>
      </c>
      <c r="W64" s="44">
        <v>44959</v>
      </c>
      <c r="X64" s="47">
        <v>13600000</v>
      </c>
      <c r="Y64" s="46">
        <v>45017</v>
      </c>
      <c r="Z64" s="48" t="s">
        <v>109</v>
      </c>
      <c r="AA64" s="49" t="s">
        <v>121</v>
      </c>
      <c r="AB64" s="49" t="s">
        <v>121</v>
      </c>
      <c r="AC64" s="26" t="s">
        <v>121</v>
      </c>
      <c r="AD64" s="49" t="s">
        <v>121</v>
      </c>
      <c r="AE64" s="49" t="s">
        <v>121</v>
      </c>
      <c r="AF64" s="48"/>
      <c r="AG64" s="45"/>
      <c r="AH64" s="50">
        <f>U64+AG64</f>
        <v>13600000</v>
      </c>
      <c r="AI64" s="48"/>
      <c r="AJ64" s="48"/>
      <c r="AK64" s="48"/>
      <c r="AL64" s="42"/>
      <c r="AM64" s="48"/>
      <c r="AN64" s="48"/>
      <c r="AO64" s="38"/>
      <c r="AP64" s="38"/>
      <c r="AQ64" s="38"/>
      <c r="AR64" s="38"/>
      <c r="AS64" s="38"/>
      <c r="AT64" s="51"/>
      <c r="AU64" s="52"/>
      <c r="AV64" s="53">
        <v>45012</v>
      </c>
      <c r="AW64" s="40" t="s">
        <v>152</v>
      </c>
      <c r="AX64" s="40" t="s">
        <v>111</v>
      </c>
      <c r="AY64" s="54">
        <v>20235920001133</v>
      </c>
    </row>
    <row r="65" spans="2:51" s="37" customFormat="1" ht="17.25" customHeight="1" x14ac:dyDescent="0.25">
      <c r="B65" s="38">
        <v>64</v>
      </c>
      <c r="C65" s="39">
        <v>2023</v>
      </c>
      <c r="D65" s="40" t="s">
        <v>609</v>
      </c>
      <c r="E65" s="41" t="s">
        <v>153</v>
      </c>
      <c r="F65" s="40" t="s">
        <v>97</v>
      </c>
      <c r="G65" s="40" t="s">
        <v>98</v>
      </c>
      <c r="H65" s="41" t="s">
        <v>610</v>
      </c>
      <c r="I65" s="25" t="s">
        <v>569</v>
      </c>
      <c r="J65" s="42" t="s">
        <v>569</v>
      </c>
      <c r="K65" s="42" t="s">
        <v>611</v>
      </c>
      <c r="L65" s="26">
        <v>1014207855</v>
      </c>
      <c r="M65" s="43">
        <v>924</v>
      </c>
      <c r="N65" s="44">
        <v>44944</v>
      </c>
      <c r="O65" s="45">
        <v>90000000</v>
      </c>
      <c r="P65" s="43" t="s">
        <v>569</v>
      </c>
      <c r="Q65" s="43" t="s">
        <v>569</v>
      </c>
      <c r="R65" s="43" t="s">
        <v>569</v>
      </c>
      <c r="S65" s="43" t="s">
        <v>569</v>
      </c>
      <c r="T65" s="43" t="s">
        <v>569</v>
      </c>
      <c r="U65" s="43" t="s">
        <v>569</v>
      </c>
      <c r="V65" s="43" t="s">
        <v>569</v>
      </c>
      <c r="W65" s="44" t="s">
        <v>569</v>
      </c>
      <c r="X65" s="43" t="s">
        <v>569</v>
      </c>
      <c r="Y65" s="43" t="s">
        <v>569</v>
      </c>
      <c r="Z65" s="48" t="s">
        <v>120</v>
      </c>
      <c r="AA65" s="49" t="s">
        <v>121</v>
      </c>
      <c r="AB65" s="49" t="s">
        <v>121</v>
      </c>
      <c r="AC65" s="26" t="s">
        <v>121</v>
      </c>
      <c r="AD65" s="49" t="s">
        <v>121</v>
      </c>
      <c r="AE65" s="49" t="s">
        <v>121</v>
      </c>
      <c r="AF65" s="49" t="s">
        <v>121</v>
      </c>
      <c r="AG65" s="45" t="s">
        <v>121</v>
      </c>
      <c r="AH65" s="49" t="s">
        <v>121</v>
      </c>
      <c r="AI65" s="48" t="s">
        <v>121</v>
      </c>
      <c r="AJ65" s="49" t="s">
        <v>121</v>
      </c>
      <c r="AK65" s="49" t="s">
        <v>121</v>
      </c>
      <c r="AL65" s="42" t="s">
        <v>121</v>
      </c>
      <c r="AM65" s="48" t="s">
        <v>121</v>
      </c>
      <c r="AN65" s="48" t="s">
        <v>121</v>
      </c>
      <c r="AO65" s="49" t="s">
        <v>121</v>
      </c>
      <c r="AP65" s="49" t="s">
        <v>121</v>
      </c>
      <c r="AQ65" s="49" t="s">
        <v>121</v>
      </c>
      <c r="AR65" s="49" t="s">
        <v>121</v>
      </c>
      <c r="AS65" s="49" t="s">
        <v>121</v>
      </c>
      <c r="AT65" s="49" t="s">
        <v>121</v>
      </c>
      <c r="AU65" s="49" t="s">
        <v>121</v>
      </c>
      <c r="AV65" s="49" t="s">
        <v>121</v>
      </c>
      <c r="AW65" s="41" t="s">
        <v>569</v>
      </c>
      <c r="AX65" s="41" t="s">
        <v>569</v>
      </c>
      <c r="AY65" s="54" t="s">
        <v>569</v>
      </c>
    </row>
    <row r="66" spans="2:51" s="37" customFormat="1" ht="17.25" customHeight="1" x14ac:dyDescent="0.25">
      <c r="B66" s="38">
        <v>65</v>
      </c>
      <c r="C66" s="39">
        <v>2023</v>
      </c>
      <c r="D66" s="40" t="s">
        <v>612</v>
      </c>
      <c r="E66" s="41" t="s">
        <v>153</v>
      </c>
      <c r="F66" s="40" t="s">
        <v>97</v>
      </c>
      <c r="G66" s="40" t="s">
        <v>98</v>
      </c>
      <c r="H66" s="41" t="s">
        <v>613</v>
      </c>
      <c r="I66" s="25" t="s">
        <v>569</v>
      </c>
      <c r="J66" s="42" t="s">
        <v>569</v>
      </c>
      <c r="K66" s="42" t="s">
        <v>614</v>
      </c>
      <c r="L66" s="26">
        <v>39750866</v>
      </c>
      <c r="M66" s="43">
        <v>924</v>
      </c>
      <c r="N66" s="44">
        <v>44944</v>
      </c>
      <c r="O66" s="45">
        <v>90000000</v>
      </c>
      <c r="P66" s="43" t="s">
        <v>569</v>
      </c>
      <c r="Q66" s="43" t="s">
        <v>569</v>
      </c>
      <c r="R66" s="43" t="s">
        <v>569</v>
      </c>
      <c r="S66" s="43" t="s">
        <v>569</v>
      </c>
      <c r="T66" s="43" t="s">
        <v>569</v>
      </c>
      <c r="U66" s="43" t="s">
        <v>569</v>
      </c>
      <c r="V66" s="43" t="s">
        <v>569</v>
      </c>
      <c r="W66" s="44" t="s">
        <v>569</v>
      </c>
      <c r="X66" s="43" t="s">
        <v>569</v>
      </c>
      <c r="Y66" s="43" t="s">
        <v>569</v>
      </c>
      <c r="Z66" s="48" t="s">
        <v>120</v>
      </c>
      <c r="AA66" s="49" t="s">
        <v>121</v>
      </c>
      <c r="AB66" s="49" t="s">
        <v>121</v>
      </c>
      <c r="AC66" s="26" t="s">
        <v>121</v>
      </c>
      <c r="AD66" s="49" t="s">
        <v>121</v>
      </c>
      <c r="AE66" s="49" t="s">
        <v>121</v>
      </c>
      <c r="AF66" s="49" t="s">
        <v>121</v>
      </c>
      <c r="AG66" s="45" t="s">
        <v>121</v>
      </c>
      <c r="AH66" s="49" t="s">
        <v>121</v>
      </c>
      <c r="AI66" s="48" t="s">
        <v>121</v>
      </c>
      <c r="AJ66" s="49" t="s">
        <v>121</v>
      </c>
      <c r="AK66" s="49" t="s">
        <v>121</v>
      </c>
      <c r="AL66" s="42" t="s">
        <v>121</v>
      </c>
      <c r="AM66" s="48" t="s">
        <v>121</v>
      </c>
      <c r="AN66" s="48" t="s">
        <v>121</v>
      </c>
      <c r="AO66" s="49" t="s">
        <v>121</v>
      </c>
      <c r="AP66" s="49" t="s">
        <v>121</v>
      </c>
      <c r="AQ66" s="49" t="s">
        <v>121</v>
      </c>
      <c r="AR66" s="49" t="s">
        <v>121</v>
      </c>
      <c r="AS66" s="49" t="s">
        <v>121</v>
      </c>
      <c r="AT66" s="49" t="s">
        <v>121</v>
      </c>
      <c r="AU66" s="49" t="s">
        <v>121</v>
      </c>
      <c r="AV66" s="49" t="s">
        <v>121</v>
      </c>
      <c r="AW66" s="41" t="s">
        <v>569</v>
      </c>
      <c r="AX66" s="41" t="s">
        <v>569</v>
      </c>
      <c r="AY66" s="54" t="s">
        <v>569</v>
      </c>
    </row>
    <row r="67" spans="2:51" s="37" customFormat="1" ht="17.25" customHeight="1" x14ac:dyDescent="0.25">
      <c r="B67" s="38">
        <v>66</v>
      </c>
      <c r="C67" s="39">
        <v>2023</v>
      </c>
      <c r="D67" s="40" t="s">
        <v>615</v>
      </c>
      <c r="E67" s="41" t="s">
        <v>96</v>
      </c>
      <c r="F67" s="40" t="s">
        <v>97</v>
      </c>
      <c r="G67" s="40" t="s">
        <v>98</v>
      </c>
      <c r="H67" s="41" t="s">
        <v>616</v>
      </c>
      <c r="I67" s="25" t="s">
        <v>617</v>
      </c>
      <c r="J67" s="42" t="s">
        <v>618</v>
      </c>
      <c r="K67" s="42" t="s">
        <v>238</v>
      </c>
      <c r="L67" s="26">
        <v>1015429185</v>
      </c>
      <c r="M67" s="43" t="s">
        <v>619</v>
      </c>
      <c r="N67" s="44">
        <v>44952</v>
      </c>
      <c r="O67" s="45">
        <v>92897000</v>
      </c>
      <c r="P67" s="44">
        <v>44959</v>
      </c>
      <c r="Q67" s="43" t="s">
        <v>620</v>
      </c>
      <c r="R67" s="46">
        <v>44959</v>
      </c>
      <c r="S67" s="45" t="s">
        <v>621</v>
      </c>
      <c r="T67" s="46">
        <v>44959</v>
      </c>
      <c r="U67" s="45">
        <v>88319466</v>
      </c>
      <c r="V67" s="43">
        <v>914</v>
      </c>
      <c r="W67" s="44">
        <v>44959</v>
      </c>
      <c r="X67" s="47">
        <v>88319466</v>
      </c>
      <c r="Y67" s="46">
        <v>45289</v>
      </c>
      <c r="Z67" s="48" t="s">
        <v>120</v>
      </c>
      <c r="AA67" s="49"/>
      <c r="AB67" s="48"/>
      <c r="AC67" s="26"/>
      <c r="AD67" s="48"/>
      <c r="AE67" s="49"/>
      <c r="AF67" s="48"/>
      <c r="AG67" s="45"/>
      <c r="AH67" s="50">
        <f>U67+AG67</f>
        <v>88319466</v>
      </c>
      <c r="AI67" s="48"/>
      <c r="AJ67" s="48"/>
      <c r="AK67" s="48"/>
      <c r="AL67" s="42"/>
      <c r="AM67" s="48"/>
      <c r="AN67" s="48"/>
      <c r="AO67" s="38"/>
      <c r="AP67" s="38"/>
      <c r="AQ67" s="38"/>
      <c r="AR67" s="38"/>
      <c r="AS67" s="38"/>
      <c r="AT67" s="51"/>
      <c r="AU67" s="52"/>
      <c r="AV67" s="38"/>
      <c r="AW67" s="41" t="s">
        <v>56</v>
      </c>
      <c r="AX67" s="40" t="s">
        <v>195</v>
      </c>
      <c r="AY67" s="54" t="s">
        <v>121</v>
      </c>
    </row>
    <row r="68" spans="2:51" s="37" customFormat="1" ht="17.25" customHeight="1" x14ac:dyDescent="0.25">
      <c r="B68" s="38">
        <v>67</v>
      </c>
      <c r="C68" s="39">
        <v>2023</v>
      </c>
      <c r="D68" s="40" t="s">
        <v>622</v>
      </c>
      <c r="E68" s="41" t="s">
        <v>96</v>
      </c>
      <c r="F68" s="40" t="s">
        <v>97</v>
      </c>
      <c r="G68" s="40" t="s">
        <v>98</v>
      </c>
      <c r="H68" s="41" t="s">
        <v>623</v>
      </c>
      <c r="I68" s="25" t="s">
        <v>624</v>
      </c>
      <c r="J68" s="42" t="s">
        <v>625</v>
      </c>
      <c r="K68" s="42" t="s">
        <v>626</v>
      </c>
      <c r="L68" s="26">
        <v>1026272482</v>
      </c>
      <c r="M68" s="43">
        <v>971</v>
      </c>
      <c r="N68" s="44">
        <v>44952</v>
      </c>
      <c r="O68" s="45">
        <v>92897000</v>
      </c>
      <c r="P68" s="44">
        <v>44959</v>
      </c>
      <c r="Q68" s="43" t="s">
        <v>627</v>
      </c>
      <c r="R68" s="46">
        <v>44959</v>
      </c>
      <c r="S68" s="45" t="s">
        <v>621</v>
      </c>
      <c r="T68" s="46">
        <v>44959</v>
      </c>
      <c r="U68" s="45">
        <v>88319466</v>
      </c>
      <c r="V68" s="43">
        <v>921</v>
      </c>
      <c r="W68" s="44">
        <v>44959</v>
      </c>
      <c r="X68" s="47">
        <v>88319466</v>
      </c>
      <c r="Y68" s="46">
        <v>45289</v>
      </c>
      <c r="Z68" s="48" t="s">
        <v>120</v>
      </c>
      <c r="AA68" s="49"/>
      <c r="AB68" s="48"/>
      <c r="AC68" s="26"/>
      <c r="AD68" s="48"/>
      <c r="AE68" s="49"/>
      <c r="AF68" s="48"/>
      <c r="AG68" s="45"/>
      <c r="AH68" s="50">
        <f>U68+AG68</f>
        <v>88319466</v>
      </c>
      <c r="AI68" s="48"/>
      <c r="AJ68" s="48"/>
      <c r="AK68" s="48"/>
      <c r="AL68" s="42"/>
      <c r="AM68" s="48"/>
      <c r="AN68" s="48"/>
      <c r="AO68" s="38"/>
      <c r="AP68" s="38"/>
      <c r="AQ68" s="38"/>
      <c r="AR68" s="38"/>
      <c r="AS68" s="38"/>
      <c r="AT68" s="51"/>
      <c r="AU68" s="52"/>
      <c r="AV68" s="38"/>
      <c r="AW68" s="41" t="s">
        <v>56</v>
      </c>
      <c r="AX68" s="40" t="s">
        <v>195</v>
      </c>
      <c r="AY68" s="54" t="s">
        <v>121</v>
      </c>
    </row>
    <row r="69" spans="2:51" s="37" customFormat="1" ht="26.25" x14ac:dyDescent="0.25">
      <c r="B69" s="38">
        <v>68</v>
      </c>
      <c r="C69" s="39">
        <v>2023</v>
      </c>
      <c r="D69" s="40" t="s">
        <v>628</v>
      </c>
      <c r="E69" s="41" t="s">
        <v>199</v>
      </c>
      <c r="F69" s="40" t="s">
        <v>97</v>
      </c>
      <c r="G69" s="40" t="s">
        <v>98</v>
      </c>
      <c r="H69" s="41" t="s">
        <v>629</v>
      </c>
      <c r="I69" s="25" t="s">
        <v>630</v>
      </c>
      <c r="J69" s="42" t="s">
        <v>631</v>
      </c>
      <c r="K69" s="42" t="s">
        <v>632</v>
      </c>
      <c r="L69" s="26">
        <v>1030637106</v>
      </c>
      <c r="M69" s="43" t="s">
        <v>633</v>
      </c>
      <c r="N69" s="44" t="s">
        <v>440</v>
      </c>
      <c r="O69" s="45">
        <f>41250000+19066667</f>
        <v>60316667</v>
      </c>
      <c r="P69" s="44">
        <v>44959</v>
      </c>
      <c r="Q69" s="43" t="s">
        <v>634</v>
      </c>
      <c r="R69" s="46">
        <v>44960</v>
      </c>
      <c r="S69" s="45" t="s">
        <v>162</v>
      </c>
      <c r="T69" s="46">
        <v>44960</v>
      </c>
      <c r="U69" s="45">
        <v>41250000</v>
      </c>
      <c r="V69" s="43" t="s">
        <v>635</v>
      </c>
      <c r="W69" s="44" t="s">
        <v>636</v>
      </c>
      <c r="X69" s="47">
        <f>41250000+19066667</f>
        <v>60316667</v>
      </c>
      <c r="Y69" s="46">
        <v>45187</v>
      </c>
      <c r="Z69" s="48" t="s">
        <v>109</v>
      </c>
      <c r="AA69" s="49"/>
      <c r="AB69" s="48"/>
      <c r="AC69" s="26"/>
      <c r="AD69" s="48"/>
      <c r="AE69" s="49"/>
      <c r="AF69" s="49">
        <v>45187</v>
      </c>
      <c r="AG69" s="45">
        <v>19066667</v>
      </c>
      <c r="AH69" s="50">
        <f>U69+AG69</f>
        <v>60316667</v>
      </c>
      <c r="AI69" s="48" t="s">
        <v>637</v>
      </c>
      <c r="AJ69" s="49">
        <v>45191</v>
      </c>
      <c r="AK69" s="49">
        <v>45187</v>
      </c>
      <c r="AL69" s="42" t="s">
        <v>638</v>
      </c>
      <c r="AM69" s="48" t="s">
        <v>637</v>
      </c>
      <c r="AN69" s="49">
        <v>45191</v>
      </c>
      <c r="AO69" s="38"/>
      <c r="AP69" s="38"/>
      <c r="AQ69" s="38"/>
      <c r="AR69" s="38"/>
      <c r="AS69" s="38"/>
      <c r="AT69" s="51"/>
      <c r="AU69" s="52"/>
      <c r="AV69" s="53">
        <v>45292</v>
      </c>
      <c r="AW69" s="41" t="s">
        <v>56</v>
      </c>
      <c r="AX69" s="40" t="s">
        <v>271</v>
      </c>
      <c r="AY69" s="54">
        <v>20235920001243</v>
      </c>
    </row>
    <row r="70" spans="2:51" s="37" customFormat="1" ht="17.25" customHeight="1" x14ac:dyDescent="0.25">
      <c r="B70" s="38">
        <v>69</v>
      </c>
      <c r="C70" s="39">
        <v>2023</v>
      </c>
      <c r="D70" s="40" t="s">
        <v>639</v>
      </c>
      <c r="E70" s="41" t="s">
        <v>199</v>
      </c>
      <c r="F70" s="40" t="s">
        <v>97</v>
      </c>
      <c r="G70" s="40" t="s">
        <v>98</v>
      </c>
      <c r="H70" s="41" t="s">
        <v>640</v>
      </c>
      <c r="I70" s="25" t="s">
        <v>641</v>
      </c>
      <c r="J70" s="42" t="s">
        <v>642</v>
      </c>
      <c r="K70" s="42" t="s">
        <v>643</v>
      </c>
      <c r="L70" s="26">
        <v>79671289</v>
      </c>
      <c r="M70" s="43">
        <v>975</v>
      </c>
      <c r="N70" s="44">
        <v>44952</v>
      </c>
      <c r="O70" s="45">
        <v>90000000</v>
      </c>
      <c r="P70" s="44">
        <v>44959</v>
      </c>
      <c r="Q70" s="43" t="s">
        <v>644</v>
      </c>
      <c r="R70" s="46">
        <v>44960</v>
      </c>
      <c r="S70" s="45" t="s">
        <v>162</v>
      </c>
      <c r="T70" s="46">
        <v>44960</v>
      </c>
      <c r="U70" s="45">
        <v>45000000</v>
      </c>
      <c r="V70" s="43">
        <v>925</v>
      </c>
      <c r="W70" s="44">
        <v>44960</v>
      </c>
      <c r="X70" s="47">
        <v>45000000</v>
      </c>
      <c r="Y70" s="46">
        <v>45187</v>
      </c>
      <c r="Z70" s="48" t="s">
        <v>120</v>
      </c>
      <c r="AA70" s="49" t="s">
        <v>121</v>
      </c>
      <c r="AB70" s="48" t="s">
        <v>121</v>
      </c>
      <c r="AC70" s="48" t="s">
        <v>121</v>
      </c>
      <c r="AD70" s="48" t="s">
        <v>121</v>
      </c>
      <c r="AE70" s="48" t="s">
        <v>121</v>
      </c>
      <c r="AF70" s="48" t="s">
        <v>121</v>
      </c>
      <c r="AG70" s="48" t="s">
        <v>121</v>
      </c>
      <c r="AH70" s="48" t="s">
        <v>121</v>
      </c>
      <c r="AI70" s="48" t="s">
        <v>121</v>
      </c>
      <c r="AJ70" s="48" t="s">
        <v>121</v>
      </c>
      <c r="AK70" s="48" t="s">
        <v>121</v>
      </c>
      <c r="AL70" s="48" t="s">
        <v>121</v>
      </c>
      <c r="AM70" s="48" t="s">
        <v>121</v>
      </c>
      <c r="AN70" s="48" t="s">
        <v>121</v>
      </c>
      <c r="AO70" s="38" t="s">
        <v>121</v>
      </c>
      <c r="AP70" s="38" t="s">
        <v>121</v>
      </c>
      <c r="AQ70" s="38" t="s">
        <v>121</v>
      </c>
      <c r="AR70" s="38" t="s">
        <v>121</v>
      </c>
      <c r="AS70" s="38" t="s">
        <v>121</v>
      </c>
      <c r="AT70" s="38" t="s">
        <v>121</v>
      </c>
      <c r="AU70" s="38" t="s">
        <v>121</v>
      </c>
      <c r="AV70" s="38" t="s">
        <v>121</v>
      </c>
      <c r="AW70" s="41" t="s">
        <v>122</v>
      </c>
      <c r="AX70" s="40" t="s">
        <v>645</v>
      </c>
      <c r="AY70" s="54">
        <v>20235920004303</v>
      </c>
    </row>
    <row r="71" spans="2:51" s="37" customFormat="1" ht="28.5" customHeight="1" x14ac:dyDescent="0.25">
      <c r="B71" s="38">
        <v>70</v>
      </c>
      <c r="C71" s="39">
        <v>2023</v>
      </c>
      <c r="D71" s="40" t="s">
        <v>646</v>
      </c>
      <c r="E71" s="41" t="s">
        <v>153</v>
      </c>
      <c r="F71" s="40" t="s">
        <v>97</v>
      </c>
      <c r="G71" s="40" t="s">
        <v>98</v>
      </c>
      <c r="H71" s="41" t="s">
        <v>647</v>
      </c>
      <c r="I71" s="25" t="s">
        <v>648</v>
      </c>
      <c r="J71" s="42" t="s">
        <v>649</v>
      </c>
      <c r="K71" s="42" t="s">
        <v>650</v>
      </c>
      <c r="L71" s="26">
        <v>1026295366</v>
      </c>
      <c r="M71" s="43">
        <v>952</v>
      </c>
      <c r="N71" s="44">
        <v>44952</v>
      </c>
      <c r="O71" s="45">
        <v>82500000</v>
      </c>
      <c r="P71" s="44">
        <v>44972</v>
      </c>
      <c r="Q71" s="43" t="s">
        <v>651</v>
      </c>
      <c r="R71" s="46">
        <v>44974</v>
      </c>
      <c r="S71" s="45" t="s">
        <v>344</v>
      </c>
      <c r="T71" s="46">
        <v>44974</v>
      </c>
      <c r="U71" s="45">
        <v>28176000</v>
      </c>
      <c r="V71" s="43">
        <v>968</v>
      </c>
      <c r="W71" s="44">
        <v>44974</v>
      </c>
      <c r="X71" s="47">
        <v>28176000</v>
      </c>
      <c r="Y71" s="46">
        <v>45090</v>
      </c>
      <c r="Z71" s="48" t="s">
        <v>120</v>
      </c>
      <c r="AA71" s="49" t="s">
        <v>121</v>
      </c>
      <c r="AB71" s="49" t="s">
        <v>121</v>
      </c>
      <c r="AC71" s="26" t="s">
        <v>121</v>
      </c>
      <c r="AD71" s="49" t="s">
        <v>121</v>
      </c>
      <c r="AE71" s="49" t="s">
        <v>121</v>
      </c>
      <c r="AF71" s="48"/>
      <c r="AG71" s="45"/>
      <c r="AH71" s="50">
        <f>U71+AG71</f>
        <v>28176000</v>
      </c>
      <c r="AI71" s="50" t="s">
        <v>121</v>
      </c>
      <c r="AJ71" s="50" t="s">
        <v>121</v>
      </c>
      <c r="AK71" s="50" t="s">
        <v>121</v>
      </c>
      <c r="AL71" s="50" t="s">
        <v>121</v>
      </c>
      <c r="AM71" s="50" t="s">
        <v>121</v>
      </c>
      <c r="AN71" s="50" t="s">
        <v>121</v>
      </c>
      <c r="AO71" s="50" t="s">
        <v>121</v>
      </c>
      <c r="AP71" s="50" t="s">
        <v>121</v>
      </c>
      <c r="AQ71" s="50" t="s">
        <v>121</v>
      </c>
      <c r="AR71" s="50" t="s">
        <v>121</v>
      </c>
      <c r="AS71" s="50" t="s">
        <v>121</v>
      </c>
      <c r="AT71" s="50" t="s">
        <v>121</v>
      </c>
      <c r="AU71" s="50" t="s">
        <v>121</v>
      </c>
      <c r="AV71" s="49" t="s">
        <v>121</v>
      </c>
      <c r="AW71" s="41" t="s">
        <v>122</v>
      </c>
      <c r="AX71" s="40" t="s">
        <v>652</v>
      </c>
      <c r="AY71" s="54">
        <v>20235920008843</v>
      </c>
    </row>
    <row r="72" spans="2:51" s="37" customFormat="1" ht="17.25" customHeight="1" x14ac:dyDescent="0.25">
      <c r="B72" s="38">
        <v>71</v>
      </c>
      <c r="C72" s="39">
        <v>2023</v>
      </c>
      <c r="D72" s="40" t="s">
        <v>653</v>
      </c>
      <c r="E72" s="41" t="s">
        <v>96</v>
      </c>
      <c r="F72" s="40" t="s">
        <v>97</v>
      </c>
      <c r="G72" s="40" t="s">
        <v>98</v>
      </c>
      <c r="H72" s="41" t="s">
        <v>654</v>
      </c>
      <c r="I72" s="25" t="s">
        <v>655</v>
      </c>
      <c r="J72" s="42" t="s">
        <v>656</v>
      </c>
      <c r="K72" s="42" t="s">
        <v>657</v>
      </c>
      <c r="L72" s="26">
        <v>1010201534</v>
      </c>
      <c r="M72" s="43" t="s">
        <v>658</v>
      </c>
      <c r="N72" s="44" t="s">
        <v>659</v>
      </c>
      <c r="O72" s="45">
        <f>82500000+18516667</f>
        <v>101016667</v>
      </c>
      <c r="P72" s="44">
        <v>44932</v>
      </c>
      <c r="Q72" s="43" t="s">
        <v>660</v>
      </c>
      <c r="R72" s="46">
        <v>44963</v>
      </c>
      <c r="S72" s="45" t="s">
        <v>162</v>
      </c>
      <c r="T72" s="46">
        <v>44964</v>
      </c>
      <c r="U72" s="45">
        <v>41250000</v>
      </c>
      <c r="V72" s="43" t="s">
        <v>661</v>
      </c>
      <c r="W72" s="44" t="s">
        <v>662</v>
      </c>
      <c r="X72" s="47">
        <f>41250000+18516667</f>
        <v>59766667</v>
      </c>
      <c r="Y72" s="46">
        <v>45190</v>
      </c>
      <c r="Z72" s="48" t="s">
        <v>109</v>
      </c>
      <c r="AA72" s="49">
        <v>45016</v>
      </c>
      <c r="AB72" s="48" t="s">
        <v>663</v>
      </c>
      <c r="AC72" s="26">
        <v>1098728380</v>
      </c>
      <c r="AD72" s="48" t="s">
        <v>664</v>
      </c>
      <c r="AE72" s="49">
        <v>45029</v>
      </c>
      <c r="AF72" s="49">
        <v>45190</v>
      </c>
      <c r="AG72" s="45">
        <v>18516667</v>
      </c>
      <c r="AH72" s="50">
        <f>U72+AG72</f>
        <v>59766667</v>
      </c>
      <c r="AI72" s="48" t="s">
        <v>664</v>
      </c>
      <c r="AJ72" s="49">
        <v>45196</v>
      </c>
      <c r="AK72" s="49">
        <v>45190</v>
      </c>
      <c r="AL72" s="42" t="s">
        <v>665</v>
      </c>
      <c r="AM72" s="48" t="s">
        <v>664</v>
      </c>
      <c r="AN72" s="49">
        <v>45196</v>
      </c>
      <c r="AO72" s="38"/>
      <c r="AP72" s="38"/>
      <c r="AQ72" s="38"/>
      <c r="AR72" s="38"/>
      <c r="AS72" s="38"/>
      <c r="AT72" s="51"/>
      <c r="AU72" s="52"/>
      <c r="AV72" s="53">
        <v>45291</v>
      </c>
      <c r="AW72" s="41" t="s">
        <v>137</v>
      </c>
      <c r="AX72" s="40" t="s">
        <v>271</v>
      </c>
      <c r="AY72" s="54">
        <v>20235920004293</v>
      </c>
    </row>
    <row r="73" spans="2:51" s="37" customFormat="1" ht="17.25" customHeight="1" x14ac:dyDescent="0.25">
      <c r="B73" s="38">
        <v>72</v>
      </c>
      <c r="C73" s="39">
        <v>2023</v>
      </c>
      <c r="D73" s="40" t="s">
        <v>666</v>
      </c>
      <c r="E73" s="41" t="s">
        <v>96</v>
      </c>
      <c r="F73" s="40" t="s">
        <v>97</v>
      </c>
      <c r="G73" s="40" t="s">
        <v>98</v>
      </c>
      <c r="H73" s="41" t="s">
        <v>667</v>
      </c>
      <c r="I73" s="25" t="s">
        <v>655</v>
      </c>
      <c r="J73" s="42" t="s">
        <v>668</v>
      </c>
      <c r="K73" s="42" t="s">
        <v>669</v>
      </c>
      <c r="L73" s="26">
        <v>1016063794</v>
      </c>
      <c r="M73" s="43" t="s">
        <v>670</v>
      </c>
      <c r="N73" s="44" t="s">
        <v>280</v>
      </c>
      <c r="O73" s="45">
        <f>38805000+17419133</f>
        <v>56224133</v>
      </c>
      <c r="P73" s="44">
        <v>44964</v>
      </c>
      <c r="Q73" s="43" t="s">
        <v>671</v>
      </c>
      <c r="R73" s="46">
        <v>44964</v>
      </c>
      <c r="S73" s="45" t="s">
        <v>162</v>
      </c>
      <c r="T73" s="46">
        <v>44964</v>
      </c>
      <c r="U73" s="45">
        <v>38805000</v>
      </c>
      <c r="V73" s="43" t="s">
        <v>672</v>
      </c>
      <c r="W73" s="44" t="s">
        <v>673</v>
      </c>
      <c r="X73" s="47">
        <f>38805000+17419133</f>
        <v>56224133</v>
      </c>
      <c r="Y73" s="46">
        <v>45190</v>
      </c>
      <c r="Z73" s="48" t="s">
        <v>109</v>
      </c>
      <c r="AA73" s="49"/>
      <c r="AB73" s="48"/>
      <c r="AC73" s="26"/>
      <c r="AD73" s="48"/>
      <c r="AE73" s="49"/>
      <c r="AF73" s="49">
        <v>45190</v>
      </c>
      <c r="AG73" s="45">
        <v>17419133</v>
      </c>
      <c r="AH73" s="50">
        <f>U73+AG73</f>
        <v>56224133</v>
      </c>
      <c r="AI73" s="48" t="s">
        <v>671</v>
      </c>
      <c r="AJ73" s="49">
        <v>45191</v>
      </c>
      <c r="AK73" s="49">
        <v>45190</v>
      </c>
      <c r="AL73" s="42" t="s">
        <v>665</v>
      </c>
      <c r="AM73" s="48" t="s">
        <v>671</v>
      </c>
      <c r="AN73" s="49">
        <v>45191</v>
      </c>
      <c r="AO73" s="38"/>
      <c r="AP73" s="38"/>
      <c r="AQ73" s="38"/>
      <c r="AR73" s="38"/>
      <c r="AS73" s="38"/>
      <c r="AT73" s="51"/>
      <c r="AU73" s="52"/>
      <c r="AV73" s="53">
        <v>45291</v>
      </c>
      <c r="AW73" s="41" t="s">
        <v>56</v>
      </c>
      <c r="AX73" s="40" t="s">
        <v>529</v>
      </c>
      <c r="AY73" s="54">
        <v>20235920001263</v>
      </c>
    </row>
    <row r="74" spans="2:51" s="37" customFormat="1" ht="17.25" customHeight="1" x14ac:dyDescent="0.25">
      <c r="B74" s="38">
        <v>73</v>
      </c>
      <c r="C74" s="39">
        <v>2023</v>
      </c>
      <c r="D74" s="40" t="s">
        <v>674</v>
      </c>
      <c r="E74" s="41" t="s">
        <v>96</v>
      </c>
      <c r="F74" s="40" t="s">
        <v>97</v>
      </c>
      <c r="G74" s="40" t="s">
        <v>98</v>
      </c>
      <c r="H74" s="41" t="s">
        <v>675</v>
      </c>
      <c r="I74" s="25" t="s">
        <v>676</v>
      </c>
      <c r="J74" s="42" t="s">
        <v>677</v>
      </c>
      <c r="K74" s="42" t="s">
        <v>678</v>
      </c>
      <c r="L74" s="26">
        <v>1032424539</v>
      </c>
      <c r="M74" s="43" t="s">
        <v>679</v>
      </c>
      <c r="N74" s="44" t="s">
        <v>680</v>
      </c>
      <c r="O74" s="45">
        <f>37500000+16833333</f>
        <v>54333333</v>
      </c>
      <c r="P74" s="44">
        <v>44960</v>
      </c>
      <c r="Q74" s="43" t="s">
        <v>681</v>
      </c>
      <c r="R74" s="46">
        <v>44964</v>
      </c>
      <c r="S74" s="45" t="s">
        <v>162</v>
      </c>
      <c r="T74" s="46">
        <v>44964</v>
      </c>
      <c r="U74" s="45">
        <v>37500000</v>
      </c>
      <c r="V74" s="43" t="s">
        <v>682</v>
      </c>
      <c r="W74" s="44" t="s">
        <v>673</v>
      </c>
      <c r="X74" s="47">
        <f>37500000+16833333</f>
        <v>54333333</v>
      </c>
      <c r="Y74" s="46">
        <v>45190</v>
      </c>
      <c r="Z74" s="48" t="s">
        <v>109</v>
      </c>
      <c r="AA74" s="49"/>
      <c r="AB74" s="48"/>
      <c r="AC74" s="26"/>
      <c r="AD74" s="48"/>
      <c r="AE74" s="49"/>
      <c r="AF74" s="49">
        <v>45189</v>
      </c>
      <c r="AG74" s="45">
        <v>16833333</v>
      </c>
      <c r="AH74" s="50">
        <f>U74+AG74</f>
        <v>54333333</v>
      </c>
      <c r="AI74" s="48" t="s">
        <v>681</v>
      </c>
      <c r="AJ74" s="49">
        <v>45194</v>
      </c>
      <c r="AK74" s="49">
        <v>45189</v>
      </c>
      <c r="AL74" s="42" t="s">
        <v>665</v>
      </c>
      <c r="AM74" s="48" t="s">
        <v>681</v>
      </c>
      <c r="AN74" s="49">
        <v>45194</v>
      </c>
      <c r="AO74" s="38"/>
      <c r="AP74" s="38"/>
      <c r="AQ74" s="38"/>
      <c r="AR74" s="38"/>
      <c r="AS74" s="38"/>
      <c r="AT74" s="51"/>
      <c r="AU74" s="52"/>
      <c r="AV74" s="53">
        <v>45291</v>
      </c>
      <c r="AW74" s="41" t="s">
        <v>56</v>
      </c>
      <c r="AX74" s="40" t="s">
        <v>145</v>
      </c>
      <c r="AY74" s="54">
        <v>20235920001113</v>
      </c>
    </row>
    <row r="75" spans="2:51" s="37" customFormat="1" ht="26.25" x14ac:dyDescent="0.25">
      <c r="B75" s="38">
        <v>74</v>
      </c>
      <c r="C75" s="39">
        <v>2023</v>
      </c>
      <c r="D75" s="40" t="s">
        <v>683</v>
      </c>
      <c r="E75" s="41" t="s">
        <v>324</v>
      </c>
      <c r="F75" s="40" t="s">
        <v>97</v>
      </c>
      <c r="G75" s="40" t="s">
        <v>98</v>
      </c>
      <c r="H75" s="41" t="s">
        <v>684</v>
      </c>
      <c r="I75" s="25" t="s">
        <v>685</v>
      </c>
      <c r="J75" s="42" t="s">
        <v>434</v>
      </c>
      <c r="K75" s="42" t="s">
        <v>686</v>
      </c>
      <c r="L75" s="26">
        <v>1106895646</v>
      </c>
      <c r="M75" s="43" t="s">
        <v>687</v>
      </c>
      <c r="N75" s="44" t="s">
        <v>688</v>
      </c>
      <c r="O75" s="45">
        <f>405000000+20400000</f>
        <v>425400000</v>
      </c>
      <c r="P75" s="44">
        <v>44960</v>
      </c>
      <c r="Q75" s="43" t="s">
        <v>689</v>
      </c>
      <c r="R75" s="46">
        <v>44960</v>
      </c>
      <c r="S75" s="45" t="s">
        <v>162</v>
      </c>
      <c r="T75" s="46">
        <v>44963</v>
      </c>
      <c r="U75" s="45">
        <v>45000000</v>
      </c>
      <c r="V75" s="43" t="s">
        <v>690</v>
      </c>
      <c r="W75" s="44" t="s">
        <v>458</v>
      </c>
      <c r="X75" s="47">
        <f>45000000+20400000</f>
        <v>65400000</v>
      </c>
      <c r="Y75" s="46">
        <v>45189</v>
      </c>
      <c r="Z75" s="48" t="s">
        <v>109</v>
      </c>
      <c r="AA75" s="49"/>
      <c r="AB75" s="48"/>
      <c r="AC75" s="26"/>
      <c r="AD75" s="48"/>
      <c r="AE75" s="49"/>
      <c r="AF75" s="49">
        <v>45188</v>
      </c>
      <c r="AG75" s="45">
        <v>20400000</v>
      </c>
      <c r="AH75" s="50">
        <f>U75+AG75</f>
        <v>65400000</v>
      </c>
      <c r="AI75" s="48" t="s">
        <v>689</v>
      </c>
      <c r="AJ75" s="49">
        <v>45189</v>
      </c>
      <c r="AK75" s="49">
        <v>45188</v>
      </c>
      <c r="AL75" s="42" t="s">
        <v>441</v>
      </c>
      <c r="AM75" s="48" t="s">
        <v>689</v>
      </c>
      <c r="AN75" s="49">
        <v>45189</v>
      </c>
      <c r="AO75" s="38"/>
      <c r="AP75" s="38"/>
      <c r="AQ75" s="38"/>
      <c r="AR75" s="38"/>
      <c r="AS75" s="38"/>
      <c r="AT75" s="51"/>
      <c r="AU75" s="52"/>
      <c r="AV75" s="53">
        <v>45291</v>
      </c>
      <c r="AW75" s="41" t="s">
        <v>56</v>
      </c>
      <c r="AX75" s="40" t="s">
        <v>145</v>
      </c>
      <c r="AY75" s="54">
        <v>20235920001003</v>
      </c>
    </row>
    <row r="76" spans="2:51" s="37" customFormat="1" ht="17.25" customHeight="1" x14ac:dyDescent="0.25">
      <c r="B76" s="38">
        <v>75</v>
      </c>
      <c r="C76" s="39">
        <v>2023</v>
      </c>
      <c r="D76" s="40" t="s">
        <v>691</v>
      </c>
      <c r="E76" s="41" t="s">
        <v>153</v>
      </c>
      <c r="F76" s="40" t="s">
        <v>97</v>
      </c>
      <c r="G76" s="40" t="s">
        <v>98</v>
      </c>
      <c r="H76" s="41" t="s">
        <v>692</v>
      </c>
      <c r="I76" s="25" t="s">
        <v>693</v>
      </c>
      <c r="J76" s="42" t="s">
        <v>649</v>
      </c>
      <c r="K76" s="42" t="s">
        <v>694</v>
      </c>
      <c r="L76" s="26">
        <v>1089512195</v>
      </c>
      <c r="M76" s="43" t="s">
        <v>695</v>
      </c>
      <c r="N76" s="44" t="s">
        <v>447</v>
      </c>
      <c r="O76" s="45">
        <f>82500000+18516667</f>
        <v>101016667</v>
      </c>
      <c r="P76" s="44">
        <v>44964</v>
      </c>
      <c r="Q76" s="43" t="s">
        <v>696</v>
      </c>
      <c r="R76" s="46">
        <v>44964</v>
      </c>
      <c r="S76" s="45" t="s">
        <v>162</v>
      </c>
      <c r="T76" s="46">
        <v>44966</v>
      </c>
      <c r="U76" s="45">
        <v>41250000</v>
      </c>
      <c r="V76" s="43" t="s">
        <v>697</v>
      </c>
      <c r="W76" s="44" t="s">
        <v>698</v>
      </c>
      <c r="X76" s="47">
        <f>41250000+18516667</f>
        <v>59766667</v>
      </c>
      <c r="Y76" s="46">
        <v>45190</v>
      </c>
      <c r="Z76" s="48" t="s">
        <v>109</v>
      </c>
      <c r="AA76" s="49"/>
      <c r="AB76" s="48"/>
      <c r="AC76" s="26"/>
      <c r="AD76" s="48"/>
      <c r="AE76" s="49"/>
      <c r="AF76" s="49">
        <v>45188</v>
      </c>
      <c r="AG76" s="45">
        <v>18516667</v>
      </c>
      <c r="AH76" s="50">
        <f>U76+AG76</f>
        <v>59766667</v>
      </c>
      <c r="AI76" s="48" t="s">
        <v>696</v>
      </c>
      <c r="AJ76" s="49">
        <v>45189</v>
      </c>
      <c r="AK76" s="49">
        <v>45188</v>
      </c>
      <c r="AL76" s="42" t="s">
        <v>665</v>
      </c>
      <c r="AM76" s="48" t="s">
        <v>696</v>
      </c>
      <c r="AN76" s="49">
        <v>45189</v>
      </c>
      <c r="AO76" s="38"/>
      <c r="AP76" s="38"/>
      <c r="AQ76" s="38"/>
      <c r="AR76" s="38"/>
      <c r="AS76" s="38"/>
      <c r="AT76" s="51"/>
      <c r="AU76" s="52"/>
      <c r="AV76" s="53">
        <v>45291</v>
      </c>
      <c r="AW76" s="41" t="s">
        <v>56</v>
      </c>
      <c r="AX76" s="40" t="s">
        <v>699</v>
      </c>
      <c r="AY76" s="54">
        <v>20235920007323</v>
      </c>
    </row>
    <row r="77" spans="2:51" s="37" customFormat="1" ht="26.25" x14ac:dyDescent="0.25">
      <c r="B77" s="38">
        <v>76</v>
      </c>
      <c r="C77" s="39">
        <v>2023</v>
      </c>
      <c r="D77" s="40" t="s">
        <v>700</v>
      </c>
      <c r="E77" s="41" t="s">
        <v>128</v>
      </c>
      <c r="F77" s="40" t="s">
        <v>97</v>
      </c>
      <c r="G77" s="40" t="s">
        <v>98</v>
      </c>
      <c r="H77" s="41" t="s">
        <v>701</v>
      </c>
      <c r="I77" s="25" t="s">
        <v>702</v>
      </c>
      <c r="J77" s="42" t="s">
        <v>703</v>
      </c>
      <c r="K77" s="42" t="s">
        <v>704</v>
      </c>
      <c r="L77" s="26">
        <v>7142638</v>
      </c>
      <c r="M77" s="43" t="s">
        <v>705</v>
      </c>
      <c r="N77" s="44" t="s">
        <v>680</v>
      </c>
      <c r="O77" s="45">
        <f>37500000+16666667</f>
        <v>54166667</v>
      </c>
      <c r="P77" s="44">
        <v>44960</v>
      </c>
      <c r="Q77" s="43" t="s">
        <v>706</v>
      </c>
      <c r="R77" s="46">
        <v>44963</v>
      </c>
      <c r="S77" s="45" t="s">
        <v>162</v>
      </c>
      <c r="T77" s="46">
        <v>44964</v>
      </c>
      <c r="U77" s="45">
        <v>37500000</v>
      </c>
      <c r="V77" s="43" t="s">
        <v>707</v>
      </c>
      <c r="W77" s="44" t="s">
        <v>662</v>
      </c>
      <c r="X77" s="47">
        <f>37500000+16666667</f>
        <v>54166667</v>
      </c>
      <c r="Y77" s="46">
        <v>45191</v>
      </c>
      <c r="Z77" s="48" t="s">
        <v>109</v>
      </c>
      <c r="AA77" s="49"/>
      <c r="AB77" s="48"/>
      <c r="AC77" s="26"/>
      <c r="AD77" s="48"/>
      <c r="AE77" s="49"/>
      <c r="AF77" s="49">
        <v>45190</v>
      </c>
      <c r="AG77" s="45">
        <v>16666667</v>
      </c>
      <c r="AH77" s="50">
        <f>U77+AG77</f>
        <v>54166667</v>
      </c>
      <c r="AI77" s="48" t="s">
        <v>708</v>
      </c>
      <c r="AJ77" s="48" t="s">
        <v>708</v>
      </c>
      <c r="AK77" s="49">
        <v>45190</v>
      </c>
      <c r="AL77" s="42" t="s">
        <v>136</v>
      </c>
      <c r="AM77" s="48" t="s">
        <v>708</v>
      </c>
      <c r="AN77" s="48" t="s">
        <v>708</v>
      </c>
      <c r="AO77" s="38"/>
      <c r="AP77" s="38"/>
      <c r="AQ77" s="38"/>
      <c r="AR77" s="38"/>
      <c r="AS77" s="38"/>
      <c r="AT77" s="51"/>
      <c r="AU77" s="52"/>
      <c r="AV77" s="53">
        <v>45291</v>
      </c>
      <c r="AW77" s="41" t="s">
        <v>56</v>
      </c>
      <c r="AX77" s="40" t="s">
        <v>145</v>
      </c>
      <c r="AY77" s="54">
        <v>20235920001323</v>
      </c>
    </row>
    <row r="78" spans="2:51" s="37" customFormat="1" ht="17.25" customHeight="1" x14ac:dyDescent="0.25">
      <c r="B78" s="38">
        <v>77</v>
      </c>
      <c r="C78" s="39">
        <v>2023</v>
      </c>
      <c r="D78" s="40" t="s">
        <v>709</v>
      </c>
      <c r="E78" s="41" t="s">
        <v>128</v>
      </c>
      <c r="F78" s="40" t="s">
        <v>97</v>
      </c>
      <c r="G78" s="40" t="s">
        <v>98</v>
      </c>
      <c r="H78" s="41" t="s">
        <v>710</v>
      </c>
      <c r="I78" s="25" t="s">
        <v>711</v>
      </c>
      <c r="J78" s="42" t="s">
        <v>563</v>
      </c>
      <c r="K78" s="42" t="s">
        <v>712</v>
      </c>
      <c r="L78" s="26">
        <v>1010236448</v>
      </c>
      <c r="M78" s="43">
        <v>878</v>
      </c>
      <c r="N78" s="44">
        <v>44943</v>
      </c>
      <c r="O78" s="45">
        <v>60000000</v>
      </c>
      <c r="P78" s="44">
        <v>44960</v>
      </c>
      <c r="Q78" s="43" t="s">
        <v>713</v>
      </c>
      <c r="R78" s="46">
        <v>44963</v>
      </c>
      <c r="S78" s="45" t="s">
        <v>119</v>
      </c>
      <c r="T78" s="46">
        <v>44964</v>
      </c>
      <c r="U78" s="45">
        <v>30000000</v>
      </c>
      <c r="V78" s="43">
        <v>933</v>
      </c>
      <c r="W78" s="44">
        <v>44963</v>
      </c>
      <c r="X78" s="47">
        <v>30000000</v>
      </c>
      <c r="Y78" s="46">
        <v>45113</v>
      </c>
      <c r="Z78" s="48" t="s">
        <v>109</v>
      </c>
      <c r="AA78" s="49" t="s">
        <v>121</v>
      </c>
      <c r="AB78" s="49" t="s">
        <v>121</v>
      </c>
      <c r="AC78" s="26" t="s">
        <v>121</v>
      </c>
      <c r="AD78" s="49" t="s">
        <v>121</v>
      </c>
      <c r="AE78" s="49" t="s">
        <v>121</v>
      </c>
      <c r="AF78" s="48" t="s">
        <v>121</v>
      </c>
      <c r="AG78" s="48" t="s">
        <v>121</v>
      </c>
      <c r="AH78" s="48" t="s">
        <v>121</v>
      </c>
      <c r="AI78" s="48" t="s">
        <v>121</v>
      </c>
      <c r="AJ78" s="48" t="s">
        <v>121</v>
      </c>
      <c r="AK78" s="48" t="s">
        <v>121</v>
      </c>
      <c r="AL78" s="42" t="s">
        <v>121</v>
      </c>
      <c r="AM78" s="48" t="s">
        <v>121</v>
      </c>
      <c r="AN78" s="48" t="s">
        <v>121</v>
      </c>
      <c r="AO78" s="49" t="s">
        <v>121</v>
      </c>
      <c r="AP78" s="49" t="s">
        <v>121</v>
      </c>
      <c r="AQ78" s="49" t="s">
        <v>121</v>
      </c>
      <c r="AR78" s="49" t="s">
        <v>121</v>
      </c>
      <c r="AS78" s="49" t="s">
        <v>121</v>
      </c>
      <c r="AT78" s="49" t="s">
        <v>121</v>
      </c>
      <c r="AU78" s="49" t="s">
        <v>121</v>
      </c>
      <c r="AV78" s="53">
        <v>45103</v>
      </c>
      <c r="AW78" s="40" t="s">
        <v>152</v>
      </c>
      <c r="AX78" s="40" t="s">
        <v>566</v>
      </c>
      <c r="AY78" s="54">
        <v>20235920001333</v>
      </c>
    </row>
    <row r="79" spans="2:51" s="37" customFormat="1" ht="17.25" customHeight="1" x14ac:dyDescent="0.25">
      <c r="B79" s="38">
        <v>78</v>
      </c>
      <c r="C79" s="39">
        <v>2023</v>
      </c>
      <c r="D79" s="40" t="s">
        <v>714</v>
      </c>
      <c r="E79" s="41" t="s">
        <v>155</v>
      </c>
      <c r="F79" s="40" t="s">
        <v>97</v>
      </c>
      <c r="G79" s="40" t="s">
        <v>98</v>
      </c>
      <c r="H79" s="41" t="s">
        <v>715</v>
      </c>
      <c r="I79" s="25" t="s">
        <v>716</v>
      </c>
      <c r="J79" s="42" t="s">
        <v>717</v>
      </c>
      <c r="K79" s="42" t="s">
        <v>718</v>
      </c>
      <c r="L79" s="26">
        <v>79602263</v>
      </c>
      <c r="M79" s="43">
        <v>877</v>
      </c>
      <c r="N79" s="44">
        <v>44943</v>
      </c>
      <c r="O79" s="45">
        <v>18000000</v>
      </c>
      <c r="P79" s="44">
        <v>44960</v>
      </c>
      <c r="Q79" s="43" t="s">
        <v>719</v>
      </c>
      <c r="R79" s="46">
        <v>44966</v>
      </c>
      <c r="S79" s="45" t="s">
        <v>119</v>
      </c>
      <c r="T79" s="46">
        <v>44967</v>
      </c>
      <c r="U79" s="45">
        <v>18000000</v>
      </c>
      <c r="V79" s="43">
        <v>930</v>
      </c>
      <c r="W79" s="44">
        <v>44963</v>
      </c>
      <c r="X79" s="47">
        <v>18000000</v>
      </c>
      <c r="Y79" s="46">
        <v>45176</v>
      </c>
      <c r="Z79" s="48" t="s">
        <v>109</v>
      </c>
      <c r="AA79" s="49" t="s">
        <v>121</v>
      </c>
      <c r="AB79" s="49" t="s">
        <v>121</v>
      </c>
      <c r="AC79" s="26" t="s">
        <v>121</v>
      </c>
      <c r="AD79" s="49" t="s">
        <v>121</v>
      </c>
      <c r="AE79" s="49" t="s">
        <v>121</v>
      </c>
      <c r="AF79" s="49" t="s">
        <v>121</v>
      </c>
      <c r="AG79" s="48" t="s">
        <v>121</v>
      </c>
      <c r="AH79" s="50" t="s">
        <v>121</v>
      </c>
      <c r="AI79" s="48" t="s">
        <v>121</v>
      </c>
      <c r="AJ79" s="48" t="s">
        <v>121</v>
      </c>
      <c r="AK79" s="48" t="s">
        <v>121</v>
      </c>
      <c r="AL79" s="48" t="s">
        <v>121</v>
      </c>
      <c r="AM79" s="48" t="s">
        <v>121</v>
      </c>
      <c r="AN79" s="48" t="s">
        <v>121</v>
      </c>
      <c r="AO79" s="48" t="s">
        <v>121</v>
      </c>
      <c r="AP79" s="48" t="s">
        <v>121</v>
      </c>
      <c r="AQ79" s="48" t="s">
        <v>121</v>
      </c>
      <c r="AR79" s="48" t="s">
        <v>121</v>
      </c>
      <c r="AS79" s="48" t="s">
        <v>121</v>
      </c>
      <c r="AT79" s="48" t="s">
        <v>121</v>
      </c>
      <c r="AU79" s="48" t="s">
        <v>121</v>
      </c>
      <c r="AV79" s="53">
        <v>45103</v>
      </c>
      <c r="AW79" s="40" t="s">
        <v>152</v>
      </c>
      <c r="AX79" s="40" t="s">
        <v>566</v>
      </c>
      <c r="AY79" s="54">
        <v>20235920001423</v>
      </c>
    </row>
    <row r="80" spans="2:51" s="37" customFormat="1" ht="17.25" customHeight="1" x14ac:dyDescent="0.25">
      <c r="B80" s="38">
        <v>79</v>
      </c>
      <c r="C80" s="39">
        <v>2023</v>
      </c>
      <c r="D80" s="40" t="s">
        <v>720</v>
      </c>
      <c r="E80" s="41" t="s">
        <v>199</v>
      </c>
      <c r="F80" s="40" t="s">
        <v>97</v>
      </c>
      <c r="G80" s="40" t="s">
        <v>98</v>
      </c>
      <c r="H80" s="41" t="s">
        <v>721</v>
      </c>
      <c r="I80" s="25" t="s">
        <v>722</v>
      </c>
      <c r="J80" s="42" t="s">
        <v>723</v>
      </c>
      <c r="K80" s="42" t="s">
        <v>724</v>
      </c>
      <c r="L80" s="26">
        <v>1016006880</v>
      </c>
      <c r="M80" s="43">
        <v>974</v>
      </c>
      <c r="N80" s="44">
        <v>44952</v>
      </c>
      <c r="O80" s="45">
        <v>45000000</v>
      </c>
      <c r="P80" s="44">
        <v>44964</v>
      </c>
      <c r="Q80" s="43" t="s">
        <v>725</v>
      </c>
      <c r="R80" s="46">
        <v>44967</v>
      </c>
      <c r="S80" s="45" t="s">
        <v>162</v>
      </c>
      <c r="T80" s="46">
        <v>44967</v>
      </c>
      <c r="U80" s="45">
        <v>45000000</v>
      </c>
      <c r="V80" s="43">
        <v>948</v>
      </c>
      <c r="W80" s="44">
        <v>44967</v>
      </c>
      <c r="X80" s="47">
        <v>45000000</v>
      </c>
      <c r="Y80" s="46">
        <v>45193</v>
      </c>
      <c r="Z80" s="48" t="s">
        <v>120</v>
      </c>
      <c r="AA80" s="49" t="s">
        <v>121</v>
      </c>
      <c r="AB80" s="48" t="s">
        <v>121</v>
      </c>
      <c r="AC80" s="48" t="s">
        <v>121</v>
      </c>
      <c r="AD80" s="48" t="s">
        <v>121</v>
      </c>
      <c r="AE80" s="48" t="s">
        <v>121</v>
      </c>
      <c r="AF80" s="48" t="s">
        <v>121</v>
      </c>
      <c r="AG80" s="48" t="s">
        <v>121</v>
      </c>
      <c r="AH80" s="48" t="s">
        <v>121</v>
      </c>
      <c r="AI80" s="48" t="s">
        <v>121</v>
      </c>
      <c r="AJ80" s="48" t="s">
        <v>121</v>
      </c>
      <c r="AK80" s="48" t="s">
        <v>121</v>
      </c>
      <c r="AL80" s="48" t="s">
        <v>121</v>
      </c>
      <c r="AM80" s="48" t="s">
        <v>121</v>
      </c>
      <c r="AN80" s="48" t="s">
        <v>121</v>
      </c>
      <c r="AO80" s="38" t="s">
        <v>121</v>
      </c>
      <c r="AP80" s="38" t="s">
        <v>121</v>
      </c>
      <c r="AQ80" s="38" t="s">
        <v>121</v>
      </c>
      <c r="AR80" s="38" t="s">
        <v>121</v>
      </c>
      <c r="AS80" s="38" t="s">
        <v>121</v>
      </c>
      <c r="AT80" s="38" t="s">
        <v>121</v>
      </c>
      <c r="AU80" s="38" t="s">
        <v>121</v>
      </c>
      <c r="AV80" s="38" t="s">
        <v>121</v>
      </c>
      <c r="AW80" s="41" t="s">
        <v>122</v>
      </c>
      <c r="AX80" s="40" t="s">
        <v>645</v>
      </c>
      <c r="AY80" s="54">
        <v>20235920004303</v>
      </c>
    </row>
    <row r="81" spans="2:51" s="37" customFormat="1" ht="17.25" customHeight="1" x14ac:dyDescent="0.25">
      <c r="B81" s="38">
        <v>80</v>
      </c>
      <c r="C81" s="39">
        <v>2023</v>
      </c>
      <c r="D81" s="40" t="s">
        <v>726</v>
      </c>
      <c r="E81" s="41" t="s">
        <v>96</v>
      </c>
      <c r="F81" s="40" t="s">
        <v>97</v>
      </c>
      <c r="G81" s="40" t="s">
        <v>98</v>
      </c>
      <c r="H81" s="41" t="s">
        <v>727</v>
      </c>
      <c r="I81" s="25" t="s">
        <v>728</v>
      </c>
      <c r="J81" s="42" t="s">
        <v>729</v>
      </c>
      <c r="K81" s="42" t="s">
        <v>271</v>
      </c>
      <c r="L81" s="26">
        <v>1012325528</v>
      </c>
      <c r="M81" s="43">
        <v>970</v>
      </c>
      <c r="N81" s="44">
        <v>44952</v>
      </c>
      <c r="O81" s="45">
        <v>92897000</v>
      </c>
      <c r="P81" s="44">
        <v>44963</v>
      </c>
      <c r="Q81" s="43" t="s">
        <v>730</v>
      </c>
      <c r="R81" s="46">
        <v>44963</v>
      </c>
      <c r="S81" s="45" t="s">
        <v>731</v>
      </c>
      <c r="T81" s="46">
        <v>44963</v>
      </c>
      <c r="U81" s="45">
        <v>87511666</v>
      </c>
      <c r="V81" s="43">
        <v>934</v>
      </c>
      <c r="W81" s="44">
        <v>44963</v>
      </c>
      <c r="X81" s="47">
        <v>87511666</v>
      </c>
      <c r="Y81" s="46">
        <v>45290</v>
      </c>
      <c r="Z81" s="48" t="s">
        <v>120</v>
      </c>
      <c r="AA81" s="49"/>
      <c r="AB81" s="48"/>
      <c r="AC81" s="26"/>
      <c r="AD81" s="48"/>
      <c r="AE81" s="49"/>
      <c r="AF81" s="48"/>
      <c r="AG81" s="45"/>
      <c r="AH81" s="50">
        <f>U81+AG81</f>
        <v>87511666</v>
      </c>
      <c r="AI81" s="48"/>
      <c r="AJ81" s="48"/>
      <c r="AK81" s="48"/>
      <c r="AL81" s="42"/>
      <c r="AM81" s="48"/>
      <c r="AN81" s="48"/>
      <c r="AO81" s="38"/>
      <c r="AP81" s="38"/>
      <c r="AQ81" s="38"/>
      <c r="AR81" s="38"/>
      <c r="AS81" s="38"/>
      <c r="AT81" s="51"/>
      <c r="AU81" s="52"/>
      <c r="AV81" s="38"/>
      <c r="AW81" s="41" t="s">
        <v>56</v>
      </c>
      <c r="AX81" s="40" t="s">
        <v>195</v>
      </c>
      <c r="AY81" s="54" t="s">
        <v>121</v>
      </c>
    </row>
    <row r="82" spans="2:51" s="37" customFormat="1" ht="26.25" x14ac:dyDescent="0.25">
      <c r="B82" s="38">
        <v>81</v>
      </c>
      <c r="C82" s="39">
        <v>2023</v>
      </c>
      <c r="D82" s="40" t="s">
        <v>732</v>
      </c>
      <c r="E82" s="41" t="s">
        <v>96</v>
      </c>
      <c r="F82" s="40" t="s">
        <v>97</v>
      </c>
      <c r="G82" s="40" t="s">
        <v>98</v>
      </c>
      <c r="H82" s="41" t="s">
        <v>733</v>
      </c>
      <c r="I82" s="25" t="s">
        <v>734</v>
      </c>
      <c r="J82" s="42" t="s">
        <v>735</v>
      </c>
      <c r="K82" s="42" t="s">
        <v>736</v>
      </c>
      <c r="L82" s="26">
        <v>52515689</v>
      </c>
      <c r="M82" s="43" t="s">
        <v>737</v>
      </c>
      <c r="N82" s="44" t="s">
        <v>450</v>
      </c>
      <c r="O82" s="45">
        <f>41250000+18333333</f>
        <v>59583333</v>
      </c>
      <c r="P82" s="44">
        <v>44963</v>
      </c>
      <c r="Q82" s="43" t="s">
        <v>738</v>
      </c>
      <c r="R82" s="46">
        <v>44965</v>
      </c>
      <c r="S82" s="45" t="s">
        <v>162</v>
      </c>
      <c r="T82" s="46">
        <v>44965</v>
      </c>
      <c r="U82" s="45">
        <v>41250000</v>
      </c>
      <c r="V82" s="43" t="s">
        <v>739</v>
      </c>
      <c r="W82" s="44" t="s">
        <v>740</v>
      </c>
      <c r="X82" s="47">
        <f>41250000+18333333</f>
        <v>59583333</v>
      </c>
      <c r="Y82" s="46">
        <v>45191</v>
      </c>
      <c r="Z82" s="48" t="s">
        <v>109</v>
      </c>
      <c r="AA82" s="49"/>
      <c r="AB82" s="48"/>
      <c r="AC82" s="26"/>
      <c r="AD82" s="48"/>
      <c r="AE82" s="49"/>
      <c r="AF82" s="49">
        <v>45191</v>
      </c>
      <c r="AG82" s="45">
        <v>18333333</v>
      </c>
      <c r="AH82" s="50">
        <f>U82+AG82</f>
        <v>59583333</v>
      </c>
      <c r="AI82" s="48" t="s">
        <v>738</v>
      </c>
      <c r="AJ82" s="49">
        <v>45202</v>
      </c>
      <c r="AK82" s="49">
        <v>45191</v>
      </c>
      <c r="AL82" s="42" t="s">
        <v>136</v>
      </c>
      <c r="AM82" s="48" t="s">
        <v>738</v>
      </c>
      <c r="AN82" s="49">
        <v>45202</v>
      </c>
      <c r="AO82" s="38"/>
      <c r="AP82" s="38"/>
      <c r="AQ82" s="38"/>
      <c r="AR82" s="38"/>
      <c r="AS82" s="38"/>
      <c r="AT82" s="51"/>
      <c r="AU82" s="52"/>
      <c r="AV82" s="53">
        <v>45291</v>
      </c>
      <c r="AW82" s="41" t="s">
        <v>56</v>
      </c>
      <c r="AX82" s="40" t="s">
        <v>529</v>
      </c>
      <c r="AY82" s="54">
        <v>20235920001413</v>
      </c>
    </row>
    <row r="83" spans="2:51" s="37" customFormat="1" ht="17.25" customHeight="1" x14ac:dyDescent="0.25">
      <c r="B83" s="38">
        <v>82</v>
      </c>
      <c r="C83" s="39">
        <v>2023</v>
      </c>
      <c r="D83" s="40" t="s">
        <v>741</v>
      </c>
      <c r="E83" s="41" t="s">
        <v>199</v>
      </c>
      <c r="F83" s="40" t="s">
        <v>97</v>
      </c>
      <c r="G83" s="40" t="s">
        <v>98</v>
      </c>
      <c r="H83" s="41" t="s">
        <v>742</v>
      </c>
      <c r="I83" s="25" t="s">
        <v>743</v>
      </c>
      <c r="J83" s="42" t="s">
        <v>744</v>
      </c>
      <c r="K83" s="42" t="s">
        <v>745</v>
      </c>
      <c r="L83" s="26">
        <v>1121927903</v>
      </c>
      <c r="M83" s="43" t="s">
        <v>746</v>
      </c>
      <c r="N83" s="44" t="s">
        <v>458</v>
      </c>
      <c r="O83" s="45">
        <f>61500000+17313333</f>
        <v>78813333</v>
      </c>
      <c r="P83" s="44">
        <v>44965</v>
      </c>
      <c r="Q83" s="43">
        <v>801015603</v>
      </c>
      <c r="R83" s="46">
        <v>44967</v>
      </c>
      <c r="S83" s="45" t="s">
        <v>162</v>
      </c>
      <c r="T83" s="46">
        <v>44967</v>
      </c>
      <c r="U83" s="45">
        <v>39750000</v>
      </c>
      <c r="V83" s="43" t="s">
        <v>747</v>
      </c>
      <c r="W83" s="44" t="s">
        <v>748</v>
      </c>
      <c r="X83" s="47">
        <f>39750000+17313333</f>
        <v>57063333</v>
      </c>
      <c r="Y83" s="46">
        <v>45193</v>
      </c>
      <c r="Z83" s="48" t="s">
        <v>109</v>
      </c>
      <c r="AA83" s="49"/>
      <c r="AB83" s="48"/>
      <c r="AC83" s="26"/>
      <c r="AD83" s="48"/>
      <c r="AE83" s="49"/>
      <c r="AF83" s="49">
        <v>45190</v>
      </c>
      <c r="AG83" s="45">
        <v>17313333</v>
      </c>
      <c r="AH83" s="50">
        <f>U83+AG83</f>
        <v>57063333</v>
      </c>
      <c r="AI83" s="48">
        <v>801015603</v>
      </c>
      <c r="AJ83" s="49">
        <v>45194</v>
      </c>
      <c r="AK83" s="49">
        <v>45190</v>
      </c>
      <c r="AL83" s="42" t="s">
        <v>194</v>
      </c>
      <c r="AM83" s="48">
        <v>801015603</v>
      </c>
      <c r="AN83" s="49">
        <v>45194</v>
      </c>
      <c r="AO83" s="38"/>
      <c r="AP83" s="38"/>
      <c r="AQ83" s="38"/>
      <c r="AR83" s="38"/>
      <c r="AS83" s="38"/>
      <c r="AT83" s="51"/>
      <c r="AU83" s="52"/>
      <c r="AV83" s="53">
        <v>45291</v>
      </c>
      <c r="AW83" s="41" t="s">
        <v>56</v>
      </c>
      <c r="AX83" s="40" t="s">
        <v>309</v>
      </c>
      <c r="AY83" s="54">
        <v>20235920004783</v>
      </c>
    </row>
    <row r="84" spans="2:51" s="37" customFormat="1" ht="26.25" x14ac:dyDescent="0.25">
      <c r="B84" s="38">
        <v>83</v>
      </c>
      <c r="C84" s="39">
        <v>2023</v>
      </c>
      <c r="D84" s="40" t="s">
        <v>749</v>
      </c>
      <c r="E84" s="41" t="s">
        <v>153</v>
      </c>
      <c r="F84" s="40" t="s">
        <v>97</v>
      </c>
      <c r="G84" s="40" t="s">
        <v>98</v>
      </c>
      <c r="H84" s="41" t="s">
        <v>750</v>
      </c>
      <c r="I84" s="25" t="s">
        <v>751</v>
      </c>
      <c r="J84" s="42" t="s">
        <v>752</v>
      </c>
      <c r="K84" s="42" t="s">
        <v>753</v>
      </c>
      <c r="L84" s="26">
        <v>52783244</v>
      </c>
      <c r="M84" s="43" t="s">
        <v>754</v>
      </c>
      <c r="N84" s="44" t="s">
        <v>680</v>
      </c>
      <c r="O84" s="45">
        <f>90000000+19600000</f>
        <v>109600000</v>
      </c>
      <c r="P84" s="44">
        <v>44965</v>
      </c>
      <c r="Q84" s="43" t="s">
        <v>755</v>
      </c>
      <c r="R84" s="46">
        <v>44966</v>
      </c>
      <c r="S84" s="45" t="s">
        <v>162</v>
      </c>
      <c r="T84" s="46">
        <v>44966</v>
      </c>
      <c r="U84" s="45">
        <v>45000000</v>
      </c>
      <c r="V84" s="43" t="s">
        <v>756</v>
      </c>
      <c r="W84" s="44" t="s">
        <v>757</v>
      </c>
      <c r="X84" s="47">
        <f>45000000+19600000</f>
        <v>64600000</v>
      </c>
      <c r="Y84" s="46">
        <v>45193</v>
      </c>
      <c r="Z84" s="48" t="s">
        <v>109</v>
      </c>
      <c r="AA84" s="49"/>
      <c r="AB84" s="48"/>
      <c r="AC84" s="26"/>
      <c r="AD84" s="48"/>
      <c r="AE84" s="49"/>
      <c r="AF84" s="49">
        <v>45190</v>
      </c>
      <c r="AG84" s="45">
        <v>19600000</v>
      </c>
      <c r="AH84" s="50">
        <f>U84+AG84</f>
        <v>64600000</v>
      </c>
      <c r="AI84" s="48" t="s">
        <v>755</v>
      </c>
      <c r="AJ84" s="49">
        <v>45191</v>
      </c>
      <c r="AK84" s="49">
        <v>45190</v>
      </c>
      <c r="AL84" s="42" t="s">
        <v>194</v>
      </c>
      <c r="AM84" s="48" t="s">
        <v>755</v>
      </c>
      <c r="AN84" s="49">
        <v>45191</v>
      </c>
      <c r="AO84" s="38"/>
      <c r="AP84" s="38"/>
      <c r="AQ84" s="38"/>
      <c r="AR84" s="38"/>
      <c r="AS84" s="38"/>
      <c r="AT84" s="51"/>
      <c r="AU84" s="52"/>
      <c r="AV84" s="53">
        <v>45291</v>
      </c>
      <c r="AW84" s="41" t="s">
        <v>56</v>
      </c>
      <c r="AX84" s="40" t="s">
        <v>758</v>
      </c>
      <c r="AY84" s="54">
        <v>20235920002393</v>
      </c>
    </row>
    <row r="85" spans="2:51" s="37" customFormat="1" ht="26.25" x14ac:dyDescent="0.25">
      <c r="B85" s="38">
        <v>84</v>
      </c>
      <c r="C85" s="39">
        <v>2023</v>
      </c>
      <c r="D85" s="40" t="s">
        <v>759</v>
      </c>
      <c r="E85" s="41" t="s">
        <v>153</v>
      </c>
      <c r="F85" s="40" t="s">
        <v>97</v>
      </c>
      <c r="G85" s="40" t="s">
        <v>98</v>
      </c>
      <c r="H85" s="41" t="s">
        <v>760</v>
      </c>
      <c r="I85" s="25" t="s">
        <v>761</v>
      </c>
      <c r="J85" s="42" t="s">
        <v>762</v>
      </c>
      <c r="K85" s="42" t="s">
        <v>763</v>
      </c>
      <c r="L85" s="26">
        <v>54255181</v>
      </c>
      <c r="M85" s="43" t="s">
        <v>764</v>
      </c>
      <c r="N85" s="44" t="s">
        <v>680</v>
      </c>
      <c r="O85" s="45">
        <f>82500000+18150000</f>
        <v>100650000</v>
      </c>
      <c r="P85" s="44">
        <v>44965</v>
      </c>
      <c r="Q85" s="43" t="s">
        <v>765</v>
      </c>
      <c r="R85" s="46">
        <v>44965</v>
      </c>
      <c r="S85" s="45" t="s">
        <v>162</v>
      </c>
      <c r="T85" s="46">
        <v>44966</v>
      </c>
      <c r="U85" s="45">
        <v>41250000</v>
      </c>
      <c r="V85" s="43" t="s">
        <v>766</v>
      </c>
      <c r="W85" s="44" t="s">
        <v>767</v>
      </c>
      <c r="X85" s="47">
        <f>41250000+18150000</f>
        <v>59400000</v>
      </c>
      <c r="Y85" s="46">
        <v>45193</v>
      </c>
      <c r="Z85" s="48" t="s">
        <v>109</v>
      </c>
      <c r="AA85" s="49"/>
      <c r="AB85" s="48"/>
      <c r="AC85" s="26"/>
      <c r="AD85" s="48"/>
      <c r="AE85" s="49"/>
      <c r="AF85" s="49">
        <v>45189</v>
      </c>
      <c r="AG85" s="45">
        <v>18150000</v>
      </c>
      <c r="AH85" s="50">
        <f>U85+AG85</f>
        <v>59400000</v>
      </c>
      <c r="AI85" s="48" t="s">
        <v>765</v>
      </c>
      <c r="AJ85" s="49">
        <v>45194</v>
      </c>
      <c r="AK85" s="49">
        <v>45189</v>
      </c>
      <c r="AL85" s="42" t="s">
        <v>768</v>
      </c>
      <c r="AM85" s="48" t="s">
        <v>765</v>
      </c>
      <c r="AN85" s="49">
        <v>45194</v>
      </c>
      <c r="AO85" s="38"/>
      <c r="AP85" s="38"/>
      <c r="AQ85" s="38"/>
      <c r="AR85" s="38"/>
      <c r="AS85" s="38"/>
      <c r="AT85" s="51"/>
      <c r="AU85" s="52"/>
      <c r="AV85" s="53">
        <v>45291</v>
      </c>
      <c r="AW85" s="41" t="s">
        <v>56</v>
      </c>
      <c r="AX85" s="40" t="s">
        <v>699</v>
      </c>
      <c r="AY85" s="54">
        <v>20235920007323</v>
      </c>
    </row>
    <row r="86" spans="2:51" s="37" customFormat="1" ht="26.25" x14ac:dyDescent="0.25">
      <c r="B86" s="38">
        <v>85</v>
      </c>
      <c r="C86" s="39">
        <v>2023</v>
      </c>
      <c r="D86" s="40" t="s">
        <v>769</v>
      </c>
      <c r="E86" s="41" t="s">
        <v>153</v>
      </c>
      <c r="F86" s="40" t="s">
        <v>97</v>
      </c>
      <c r="G86" s="40" t="s">
        <v>98</v>
      </c>
      <c r="H86" s="41" t="s">
        <v>770</v>
      </c>
      <c r="I86" s="25" t="s">
        <v>771</v>
      </c>
      <c r="J86" s="42" t="s">
        <v>772</v>
      </c>
      <c r="K86" s="42" t="s">
        <v>773</v>
      </c>
      <c r="L86" s="26">
        <v>80199901</v>
      </c>
      <c r="M86" s="43" t="s">
        <v>774</v>
      </c>
      <c r="N86" s="44" t="s">
        <v>680</v>
      </c>
      <c r="O86" s="45">
        <v>45000000</v>
      </c>
      <c r="P86" s="44">
        <v>44967</v>
      </c>
      <c r="Q86" s="43" t="s">
        <v>775</v>
      </c>
      <c r="R86" s="46">
        <v>44971</v>
      </c>
      <c r="S86" s="45" t="s">
        <v>162</v>
      </c>
      <c r="T86" s="46">
        <v>44971</v>
      </c>
      <c r="U86" s="45">
        <v>45000000</v>
      </c>
      <c r="V86" s="43" t="s">
        <v>776</v>
      </c>
      <c r="W86" s="44" t="s">
        <v>777</v>
      </c>
      <c r="X86" s="47">
        <f>45000000+18800000</f>
        <v>63800000</v>
      </c>
      <c r="Y86" s="46">
        <v>45197</v>
      </c>
      <c r="Z86" s="48" t="s">
        <v>109</v>
      </c>
      <c r="AA86" s="49"/>
      <c r="AB86" s="48"/>
      <c r="AC86" s="26"/>
      <c r="AD86" s="48"/>
      <c r="AE86" s="49"/>
      <c r="AF86" s="49">
        <v>45194</v>
      </c>
      <c r="AG86" s="45">
        <v>18800000</v>
      </c>
      <c r="AH86" s="50">
        <f>U86+AG86</f>
        <v>63800000</v>
      </c>
      <c r="AI86" s="48" t="s">
        <v>775</v>
      </c>
      <c r="AJ86" s="49">
        <v>45196</v>
      </c>
      <c r="AK86" s="49">
        <v>45194</v>
      </c>
      <c r="AL86" s="42" t="s">
        <v>778</v>
      </c>
      <c r="AM86" s="48" t="s">
        <v>775</v>
      </c>
      <c r="AN86" s="49">
        <v>45196</v>
      </c>
      <c r="AO86" s="38"/>
      <c r="AP86" s="38"/>
      <c r="AQ86" s="38"/>
      <c r="AR86" s="38"/>
      <c r="AS86" s="38"/>
      <c r="AT86" s="51"/>
      <c r="AU86" s="52"/>
      <c r="AV86" s="53">
        <v>45291</v>
      </c>
      <c r="AW86" s="41" t="s">
        <v>56</v>
      </c>
      <c r="AX86" s="40" t="s">
        <v>145</v>
      </c>
      <c r="AY86" s="54">
        <v>20235920002193</v>
      </c>
    </row>
    <row r="87" spans="2:51" s="37" customFormat="1" ht="26.25" x14ac:dyDescent="0.25">
      <c r="B87" s="38">
        <v>86</v>
      </c>
      <c r="C87" s="39">
        <v>2023</v>
      </c>
      <c r="D87" s="40" t="s">
        <v>779</v>
      </c>
      <c r="E87" s="41" t="s">
        <v>153</v>
      </c>
      <c r="F87" s="40" t="s">
        <v>97</v>
      </c>
      <c r="G87" s="40" t="s">
        <v>98</v>
      </c>
      <c r="H87" s="41" t="s">
        <v>780</v>
      </c>
      <c r="I87" s="25" t="s">
        <v>781</v>
      </c>
      <c r="J87" s="42" t="s">
        <v>782</v>
      </c>
      <c r="K87" s="42" t="s">
        <v>783</v>
      </c>
      <c r="L87" s="26">
        <v>1013578678</v>
      </c>
      <c r="M87" s="43" t="s">
        <v>784</v>
      </c>
      <c r="N87" s="44" t="s">
        <v>440</v>
      </c>
      <c r="O87" s="45">
        <f>33750000+14700000</f>
        <v>48450000</v>
      </c>
      <c r="P87" s="44">
        <v>44965</v>
      </c>
      <c r="Q87" s="43" t="s">
        <v>785</v>
      </c>
      <c r="R87" s="46">
        <v>44967</v>
      </c>
      <c r="S87" s="45" t="s">
        <v>162</v>
      </c>
      <c r="T87" s="46">
        <v>44966</v>
      </c>
      <c r="U87" s="45">
        <v>33750000</v>
      </c>
      <c r="V87" s="43" t="s">
        <v>786</v>
      </c>
      <c r="W87" s="44" t="s">
        <v>787</v>
      </c>
      <c r="X87" s="47">
        <f>33750000+14700000</f>
        <v>48450000</v>
      </c>
      <c r="Y87" s="46">
        <v>45193</v>
      </c>
      <c r="Z87" s="48" t="s">
        <v>109</v>
      </c>
      <c r="AA87" s="49"/>
      <c r="AB87" s="48"/>
      <c r="AC87" s="26"/>
      <c r="AD87" s="48"/>
      <c r="AE87" s="49"/>
      <c r="AF87" s="49">
        <v>45191</v>
      </c>
      <c r="AG87" s="45">
        <v>14700000</v>
      </c>
      <c r="AH87" s="50">
        <f>U87+AG87</f>
        <v>48450000</v>
      </c>
      <c r="AI87" s="48" t="s">
        <v>785</v>
      </c>
      <c r="AJ87" s="49">
        <v>45194</v>
      </c>
      <c r="AK87" s="49">
        <v>45191</v>
      </c>
      <c r="AL87" s="42" t="s">
        <v>194</v>
      </c>
      <c r="AM87" s="48" t="s">
        <v>785</v>
      </c>
      <c r="AN87" s="49">
        <v>45194</v>
      </c>
      <c r="AO87" s="38"/>
      <c r="AP87" s="38"/>
      <c r="AQ87" s="38"/>
      <c r="AR87" s="38"/>
      <c r="AS87" s="38"/>
      <c r="AT87" s="51"/>
      <c r="AU87" s="52"/>
      <c r="AV87" s="53">
        <v>45291</v>
      </c>
      <c r="AW87" s="41" t="s">
        <v>56</v>
      </c>
      <c r="AX87" s="40" t="s">
        <v>309</v>
      </c>
      <c r="AY87" s="54">
        <v>20235920004783</v>
      </c>
    </row>
    <row r="88" spans="2:51" s="37" customFormat="1" ht="26.25" x14ac:dyDescent="0.25">
      <c r="B88" s="38">
        <v>87</v>
      </c>
      <c r="C88" s="39">
        <v>2023</v>
      </c>
      <c r="D88" s="40" t="s">
        <v>788</v>
      </c>
      <c r="E88" s="41" t="s">
        <v>153</v>
      </c>
      <c r="F88" s="40" t="s">
        <v>97</v>
      </c>
      <c r="G88" s="40" t="s">
        <v>98</v>
      </c>
      <c r="H88" s="41" t="s">
        <v>789</v>
      </c>
      <c r="I88" s="25" t="s">
        <v>790</v>
      </c>
      <c r="J88" s="42" t="s">
        <v>791</v>
      </c>
      <c r="K88" s="42" t="s">
        <v>792</v>
      </c>
      <c r="L88" s="26">
        <v>1121917670</v>
      </c>
      <c r="M88" s="43" t="s">
        <v>793</v>
      </c>
      <c r="N88" s="44" t="s">
        <v>794</v>
      </c>
      <c r="O88" s="45">
        <f>38250000+16660000</f>
        <v>54910000</v>
      </c>
      <c r="P88" s="44">
        <v>44965</v>
      </c>
      <c r="Q88" s="43" t="s">
        <v>795</v>
      </c>
      <c r="R88" s="46">
        <v>44965</v>
      </c>
      <c r="S88" s="45" t="s">
        <v>162</v>
      </c>
      <c r="T88" s="46">
        <v>44966</v>
      </c>
      <c r="U88" s="45">
        <v>38250000</v>
      </c>
      <c r="V88" s="43" t="s">
        <v>796</v>
      </c>
      <c r="W88" s="44" t="s">
        <v>767</v>
      </c>
      <c r="X88" s="47">
        <f>38250000+16660000</f>
        <v>54910000</v>
      </c>
      <c r="Y88" s="46">
        <v>45193</v>
      </c>
      <c r="Z88" s="48" t="s">
        <v>109</v>
      </c>
      <c r="AA88" s="49">
        <v>45016</v>
      </c>
      <c r="AB88" s="48" t="s">
        <v>797</v>
      </c>
      <c r="AC88" s="26">
        <v>1013637604</v>
      </c>
      <c r="AD88" s="48" t="s">
        <v>798</v>
      </c>
      <c r="AE88" s="49">
        <v>45016</v>
      </c>
      <c r="AF88" s="49">
        <v>45190</v>
      </c>
      <c r="AG88" s="45">
        <v>16660000</v>
      </c>
      <c r="AH88" s="50">
        <f>U88+AG88</f>
        <v>54910000</v>
      </c>
      <c r="AI88" s="48" t="s">
        <v>798</v>
      </c>
      <c r="AJ88" s="49">
        <v>45190</v>
      </c>
      <c r="AK88" s="49">
        <v>45190</v>
      </c>
      <c r="AL88" s="42" t="s">
        <v>194</v>
      </c>
      <c r="AM88" s="48" t="s">
        <v>798</v>
      </c>
      <c r="AN88" s="49">
        <v>45190</v>
      </c>
      <c r="AO88" s="38"/>
      <c r="AP88" s="38"/>
      <c r="AQ88" s="38"/>
      <c r="AR88" s="38"/>
      <c r="AS88" s="38"/>
      <c r="AT88" s="51"/>
      <c r="AU88" s="52"/>
      <c r="AV88" s="53">
        <v>45291</v>
      </c>
      <c r="AW88" s="41" t="s">
        <v>137</v>
      </c>
      <c r="AX88" s="40" t="s">
        <v>145</v>
      </c>
      <c r="AY88" s="54">
        <v>20235920001603</v>
      </c>
    </row>
    <row r="89" spans="2:51" s="37" customFormat="1" ht="26.25" x14ac:dyDescent="0.25">
      <c r="B89" s="38">
        <v>88</v>
      </c>
      <c r="C89" s="39">
        <v>2023</v>
      </c>
      <c r="D89" s="40" t="s">
        <v>799</v>
      </c>
      <c r="E89" s="41" t="s">
        <v>324</v>
      </c>
      <c r="F89" s="40" t="s">
        <v>97</v>
      </c>
      <c r="G89" s="40" t="s">
        <v>98</v>
      </c>
      <c r="H89" s="41" t="s">
        <v>800</v>
      </c>
      <c r="I89" s="25" t="s">
        <v>801</v>
      </c>
      <c r="J89" s="42" t="s">
        <v>802</v>
      </c>
      <c r="K89" s="42" t="s">
        <v>803</v>
      </c>
      <c r="L89" s="26">
        <v>1016041536</v>
      </c>
      <c r="M89" s="43" t="s">
        <v>804</v>
      </c>
      <c r="N89" s="44" t="s">
        <v>437</v>
      </c>
      <c r="O89" s="45">
        <f>405000000+19800000</f>
        <v>424800000</v>
      </c>
      <c r="P89" s="44">
        <v>44965</v>
      </c>
      <c r="Q89" s="43" t="s">
        <v>805</v>
      </c>
      <c r="R89" s="46">
        <v>44965</v>
      </c>
      <c r="S89" s="45" t="s">
        <v>162</v>
      </c>
      <c r="T89" s="46">
        <v>44966</v>
      </c>
      <c r="U89" s="45">
        <v>45000000</v>
      </c>
      <c r="V89" s="43" t="s">
        <v>806</v>
      </c>
      <c r="W89" s="44" t="s">
        <v>740</v>
      </c>
      <c r="X89" s="47">
        <f>45000000+19800000</f>
        <v>64800000</v>
      </c>
      <c r="Y89" s="46">
        <v>45192</v>
      </c>
      <c r="Z89" s="48" t="s">
        <v>109</v>
      </c>
      <c r="AA89" s="49"/>
      <c r="AB89" s="48"/>
      <c r="AC89" s="26"/>
      <c r="AD89" s="48"/>
      <c r="AE89" s="49"/>
      <c r="AF89" s="49">
        <v>45191</v>
      </c>
      <c r="AG89" s="45">
        <v>19800000</v>
      </c>
      <c r="AH89" s="50">
        <f>U89+AG89</f>
        <v>64800000</v>
      </c>
      <c r="AI89" s="48" t="s">
        <v>805</v>
      </c>
      <c r="AJ89" s="49">
        <v>45202</v>
      </c>
      <c r="AK89" s="49">
        <v>45191</v>
      </c>
      <c r="AL89" s="42" t="s">
        <v>768</v>
      </c>
      <c r="AM89" s="48" t="s">
        <v>805</v>
      </c>
      <c r="AN89" s="49">
        <v>45202</v>
      </c>
      <c r="AO89" s="38"/>
      <c r="AP89" s="38"/>
      <c r="AQ89" s="38"/>
      <c r="AR89" s="38"/>
      <c r="AS89" s="38"/>
      <c r="AT89" s="51"/>
      <c r="AU89" s="52"/>
      <c r="AV89" s="53">
        <v>45292</v>
      </c>
      <c r="AW89" s="41" t="s">
        <v>56</v>
      </c>
      <c r="AX89" s="40" t="s">
        <v>145</v>
      </c>
      <c r="AY89" s="54">
        <v>20235920001393</v>
      </c>
    </row>
    <row r="90" spans="2:51" s="37" customFormat="1" ht="26.25" x14ac:dyDescent="0.25">
      <c r="B90" s="38">
        <v>89</v>
      </c>
      <c r="C90" s="39">
        <v>2023</v>
      </c>
      <c r="D90" s="40" t="s">
        <v>807</v>
      </c>
      <c r="E90" s="41" t="s">
        <v>324</v>
      </c>
      <c r="F90" s="40" t="s">
        <v>97</v>
      </c>
      <c r="G90" s="40" t="s">
        <v>98</v>
      </c>
      <c r="H90" s="41" t="s">
        <v>808</v>
      </c>
      <c r="I90" s="25" t="s">
        <v>809</v>
      </c>
      <c r="J90" s="42" t="s">
        <v>434</v>
      </c>
      <c r="K90" s="42" t="s">
        <v>810</v>
      </c>
      <c r="L90" s="26">
        <v>1018443671</v>
      </c>
      <c r="M90" s="43" t="s">
        <v>811</v>
      </c>
      <c r="N90" s="44" t="s">
        <v>437</v>
      </c>
      <c r="O90" s="45">
        <f>405000000+19800000</f>
        <v>424800000</v>
      </c>
      <c r="P90" s="44">
        <v>44965</v>
      </c>
      <c r="Q90" s="43" t="s">
        <v>812</v>
      </c>
      <c r="R90" s="46">
        <v>44965</v>
      </c>
      <c r="S90" s="45" t="s">
        <v>162</v>
      </c>
      <c r="T90" s="46">
        <v>44966</v>
      </c>
      <c r="U90" s="45">
        <v>45000000</v>
      </c>
      <c r="V90" s="43" t="s">
        <v>813</v>
      </c>
      <c r="W90" s="44" t="s">
        <v>767</v>
      </c>
      <c r="X90" s="47">
        <f>45000000+19800000</f>
        <v>64800000</v>
      </c>
      <c r="Y90" s="46">
        <v>45192</v>
      </c>
      <c r="Z90" s="48" t="s">
        <v>109</v>
      </c>
      <c r="AA90" s="49">
        <v>45041</v>
      </c>
      <c r="AB90" s="48" t="s">
        <v>814</v>
      </c>
      <c r="AC90" s="26">
        <v>80767030</v>
      </c>
      <c r="AD90" s="48" t="s">
        <v>815</v>
      </c>
      <c r="AE90" s="49">
        <v>45043</v>
      </c>
      <c r="AF90" s="49">
        <v>45190</v>
      </c>
      <c r="AG90" s="45">
        <v>19800000</v>
      </c>
      <c r="AH90" s="50">
        <f>U90+AG90</f>
        <v>64800000</v>
      </c>
      <c r="AI90" s="48" t="s">
        <v>815</v>
      </c>
      <c r="AJ90" s="49">
        <v>45198</v>
      </c>
      <c r="AK90" s="49">
        <v>45190</v>
      </c>
      <c r="AL90" s="42" t="s">
        <v>768</v>
      </c>
      <c r="AM90" s="48" t="s">
        <v>815</v>
      </c>
      <c r="AN90" s="49">
        <v>45198</v>
      </c>
      <c r="AO90" s="38"/>
      <c r="AP90" s="38"/>
      <c r="AQ90" s="38"/>
      <c r="AR90" s="38"/>
      <c r="AS90" s="38"/>
      <c r="AT90" s="51"/>
      <c r="AU90" s="52"/>
      <c r="AV90" s="53">
        <v>45291</v>
      </c>
      <c r="AW90" s="41" t="s">
        <v>137</v>
      </c>
      <c r="AX90" s="40" t="s">
        <v>145</v>
      </c>
      <c r="AY90" s="54">
        <v>20235920001393</v>
      </c>
    </row>
    <row r="91" spans="2:51" s="37" customFormat="1" ht="26.25" x14ac:dyDescent="0.25">
      <c r="B91" s="38">
        <v>90</v>
      </c>
      <c r="C91" s="39">
        <v>2023</v>
      </c>
      <c r="D91" s="40" t="s">
        <v>816</v>
      </c>
      <c r="E91" s="41" t="s">
        <v>324</v>
      </c>
      <c r="F91" s="40" t="s">
        <v>97</v>
      </c>
      <c r="G91" s="40" t="s">
        <v>98</v>
      </c>
      <c r="H91" s="41" t="s">
        <v>817</v>
      </c>
      <c r="I91" s="25" t="s">
        <v>818</v>
      </c>
      <c r="J91" s="42" t="s">
        <v>819</v>
      </c>
      <c r="K91" s="42" t="s">
        <v>820</v>
      </c>
      <c r="L91" s="26">
        <v>1000033850</v>
      </c>
      <c r="M91" s="43" t="s">
        <v>821</v>
      </c>
      <c r="N91" s="44" t="s">
        <v>822</v>
      </c>
      <c r="O91" s="45">
        <f>20250000+7916667</f>
        <v>28166667</v>
      </c>
      <c r="P91" s="44">
        <v>44966</v>
      </c>
      <c r="Q91" s="43" t="s">
        <v>823</v>
      </c>
      <c r="R91" s="46">
        <v>44970</v>
      </c>
      <c r="S91" s="45" t="s">
        <v>162</v>
      </c>
      <c r="T91" s="46">
        <v>44970</v>
      </c>
      <c r="U91" s="45">
        <v>20250000</v>
      </c>
      <c r="V91" s="43" t="s">
        <v>824</v>
      </c>
      <c r="W91" s="44" t="s">
        <v>825</v>
      </c>
      <c r="X91" s="47">
        <f>20250000+7916667</f>
        <v>28166667</v>
      </c>
      <c r="Y91" s="46">
        <v>45196</v>
      </c>
      <c r="Z91" s="48" t="s">
        <v>109</v>
      </c>
      <c r="AA91" s="49"/>
      <c r="AB91" s="48"/>
      <c r="AC91" s="26"/>
      <c r="AD91" s="48"/>
      <c r="AE91" s="49"/>
      <c r="AF91" s="49">
        <v>45189</v>
      </c>
      <c r="AG91" s="45">
        <v>7916667</v>
      </c>
      <c r="AH91" s="50">
        <f>U91+AG91</f>
        <v>28166667</v>
      </c>
      <c r="AI91" s="48" t="s">
        <v>823</v>
      </c>
      <c r="AJ91" s="49">
        <v>45196</v>
      </c>
      <c r="AK91" s="49">
        <v>45189</v>
      </c>
      <c r="AL91" s="42" t="s">
        <v>826</v>
      </c>
      <c r="AM91" s="48" t="s">
        <v>823</v>
      </c>
      <c r="AN91" s="49">
        <v>45196</v>
      </c>
      <c r="AO91" s="38"/>
      <c r="AP91" s="38"/>
      <c r="AQ91" s="38"/>
      <c r="AR91" s="38"/>
      <c r="AS91" s="38"/>
      <c r="AT91" s="51"/>
      <c r="AU91" s="52"/>
      <c r="AV91" s="53">
        <v>45291</v>
      </c>
      <c r="AW91" s="41" t="s">
        <v>56</v>
      </c>
      <c r="AX91" s="40" t="s">
        <v>529</v>
      </c>
      <c r="AY91" s="54">
        <v>20235920001463</v>
      </c>
    </row>
    <row r="92" spans="2:51" s="37" customFormat="1" ht="26.25" x14ac:dyDescent="0.25">
      <c r="B92" s="38">
        <v>91</v>
      </c>
      <c r="C92" s="39">
        <v>2023</v>
      </c>
      <c r="D92" s="40" t="s">
        <v>827</v>
      </c>
      <c r="E92" s="41" t="s">
        <v>324</v>
      </c>
      <c r="F92" s="40" t="s">
        <v>97</v>
      </c>
      <c r="G92" s="40" t="s">
        <v>98</v>
      </c>
      <c r="H92" s="41" t="s">
        <v>828</v>
      </c>
      <c r="I92" s="25" t="s">
        <v>829</v>
      </c>
      <c r="J92" s="42" t="s">
        <v>830</v>
      </c>
      <c r="K92" s="42" t="s">
        <v>831</v>
      </c>
      <c r="L92" s="26">
        <v>52352116</v>
      </c>
      <c r="M92" s="43" t="s">
        <v>832</v>
      </c>
      <c r="N92" s="44" t="s">
        <v>437</v>
      </c>
      <c r="O92" s="45">
        <f>38715000+17034600</f>
        <v>55749600</v>
      </c>
      <c r="P92" s="44">
        <v>44965</v>
      </c>
      <c r="Q92" s="43" t="s">
        <v>833</v>
      </c>
      <c r="R92" s="46">
        <v>44966</v>
      </c>
      <c r="S92" s="45" t="s">
        <v>162</v>
      </c>
      <c r="T92" s="46">
        <v>44966</v>
      </c>
      <c r="U92" s="45">
        <v>38715000</v>
      </c>
      <c r="V92" s="43" t="s">
        <v>834</v>
      </c>
      <c r="W92" s="44" t="s">
        <v>757</v>
      </c>
      <c r="X92" s="47">
        <f>38715000+17034600</f>
        <v>55749600</v>
      </c>
      <c r="Y92" s="46">
        <v>45192</v>
      </c>
      <c r="Z92" s="48" t="s">
        <v>109</v>
      </c>
      <c r="AA92" s="49"/>
      <c r="AB92" s="48"/>
      <c r="AC92" s="26"/>
      <c r="AD92" s="48"/>
      <c r="AE92" s="49"/>
      <c r="AF92" s="49">
        <v>45190</v>
      </c>
      <c r="AG92" s="45">
        <v>17034600</v>
      </c>
      <c r="AH92" s="50">
        <f>U92+AG92</f>
        <v>55749600</v>
      </c>
      <c r="AI92" s="48" t="s">
        <v>833</v>
      </c>
      <c r="AJ92" s="49">
        <v>45196</v>
      </c>
      <c r="AK92" s="49">
        <v>45190</v>
      </c>
      <c r="AL92" s="42" t="s">
        <v>768</v>
      </c>
      <c r="AM92" s="48" t="s">
        <v>833</v>
      </c>
      <c r="AN92" s="49">
        <v>45196</v>
      </c>
      <c r="AO92" s="38"/>
      <c r="AP92" s="38"/>
      <c r="AQ92" s="38"/>
      <c r="AR92" s="38"/>
      <c r="AS92" s="38"/>
      <c r="AT92" s="51"/>
      <c r="AU92" s="52"/>
      <c r="AV92" s="53">
        <v>45291</v>
      </c>
      <c r="AW92" s="41" t="s">
        <v>56</v>
      </c>
      <c r="AX92" s="40" t="s">
        <v>529</v>
      </c>
      <c r="AY92" s="54">
        <v>20235920001403</v>
      </c>
    </row>
    <row r="93" spans="2:51" s="37" customFormat="1" ht="26.25" x14ac:dyDescent="0.25">
      <c r="B93" s="38">
        <v>92</v>
      </c>
      <c r="C93" s="39">
        <v>2023</v>
      </c>
      <c r="D93" s="40" t="s">
        <v>835</v>
      </c>
      <c r="E93" s="41" t="s">
        <v>199</v>
      </c>
      <c r="F93" s="40" t="s">
        <v>97</v>
      </c>
      <c r="G93" s="40" t="s">
        <v>98</v>
      </c>
      <c r="H93" s="41" t="s">
        <v>836</v>
      </c>
      <c r="I93" s="25" t="s">
        <v>837</v>
      </c>
      <c r="J93" s="42" t="s">
        <v>838</v>
      </c>
      <c r="K93" s="42" t="s">
        <v>839</v>
      </c>
      <c r="L93" s="26">
        <v>19497903</v>
      </c>
      <c r="M93" s="43" t="s">
        <v>840</v>
      </c>
      <c r="N93" s="44" t="s">
        <v>841</v>
      </c>
      <c r="O93" s="45">
        <f>61500000+12983333</f>
        <v>74483333</v>
      </c>
      <c r="P93" s="44">
        <v>44967</v>
      </c>
      <c r="Q93" s="43" t="s">
        <v>842</v>
      </c>
      <c r="R93" s="46">
        <v>44970</v>
      </c>
      <c r="S93" s="45" t="s">
        <v>162</v>
      </c>
      <c r="T93" s="46">
        <v>44970</v>
      </c>
      <c r="U93" s="45">
        <v>30750000</v>
      </c>
      <c r="V93" s="43" t="s">
        <v>843</v>
      </c>
      <c r="W93" s="44" t="s">
        <v>844</v>
      </c>
      <c r="X93" s="47">
        <f>30750000+12983333</f>
        <v>43733333</v>
      </c>
      <c r="Y93" s="46">
        <v>45196</v>
      </c>
      <c r="Z93" s="48" t="s">
        <v>109</v>
      </c>
      <c r="AA93" s="49"/>
      <c r="AB93" s="48"/>
      <c r="AC93" s="26"/>
      <c r="AD93" s="48"/>
      <c r="AE93" s="49"/>
      <c r="AF93" s="49">
        <v>45194</v>
      </c>
      <c r="AG93" s="45">
        <v>12983333</v>
      </c>
      <c r="AH93" s="50">
        <f>U93+AG93</f>
        <v>43733333</v>
      </c>
      <c r="AI93" s="48" t="s">
        <v>842</v>
      </c>
      <c r="AJ93" s="49">
        <v>45198</v>
      </c>
      <c r="AK93" s="49">
        <v>45194</v>
      </c>
      <c r="AL93" s="42" t="s">
        <v>826</v>
      </c>
      <c r="AM93" s="48" t="s">
        <v>842</v>
      </c>
      <c r="AN93" s="49">
        <v>45198</v>
      </c>
      <c r="AO93" s="38"/>
      <c r="AP93" s="38"/>
      <c r="AQ93" s="38"/>
      <c r="AR93" s="38"/>
      <c r="AS93" s="38"/>
      <c r="AT93" s="51"/>
      <c r="AU93" s="52"/>
      <c r="AV93" s="53">
        <v>45291</v>
      </c>
      <c r="AW93" s="41" t="s">
        <v>56</v>
      </c>
      <c r="AX93" s="40" t="s">
        <v>845</v>
      </c>
      <c r="AY93" s="54">
        <v>20235920001593</v>
      </c>
    </row>
    <row r="94" spans="2:51" s="37" customFormat="1" ht="17.25" customHeight="1" x14ac:dyDescent="0.25">
      <c r="B94" s="38">
        <v>93</v>
      </c>
      <c r="C94" s="39">
        <v>2023</v>
      </c>
      <c r="D94" s="40" t="s">
        <v>846</v>
      </c>
      <c r="E94" s="41" t="s">
        <v>324</v>
      </c>
      <c r="F94" s="40" t="s">
        <v>97</v>
      </c>
      <c r="G94" s="40" t="s">
        <v>98</v>
      </c>
      <c r="H94" s="41" t="s">
        <v>847</v>
      </c>
      <c r="I94" s="25" t="s">
        <v>569</v>
      </c>
      <c r="J94" s="42" t="s">
        <v>569</v>
      </c>
      <c r="K94" s="42" t="s">
        <v>848</v>
      </c>
      <c r="L94" s="26">
        <v>52358174</v>
      </c>
      <c r="M94" s="43">
        <v>948</v>
      </c>
      <c r="N94" s="44">
        <v>44952</v>
      </c>
      <c r="O94" s="45">
        <v>27000000</v>
      </c>
      <c r="P94" s="43" t="s">
        <v>569</v>
      </c>
      <c r="Q94" s="43" t="s">
        <v>569</v>
      </c>
      <c r="R94" s="43" t="s">
        <v>569</v>
      </c>
      <c r="S94" s="43" t="s">
        <v>569</v>
      </c>
      <c r="T94" s="43" t="s">
        <v>569</v>
      </c>
      <c r="U94" s="43" t="s">
        <v>569</v>
      </c>
      <c r="V94" s="43" t="s">
        <v>569</v>
      </c>
      <c r="W94" s="44" t="s">
        <v>569</v>
      </c>
      <c r="X94" s="43" t="s">
        <v>569</v>
      </c>
      <c r="Y94" s="43" t="s">
        <v>569</v>
      </c>
      <c r="Z94" s="48" t="s">
        <v>120</v>
      </c>
      <c r="AA94" s="49" t="s">
        <v>121</v>
      </c>
      <c r="AB94" s="49" t="s">
        <v>121</v>
      </c>
      <c r="AC94" s="26" t="s">
        <v>121</v>
      </c>
      <c r="AD94" s="49" t="s">
        <v>121</v>
      </c>
      <c r="AE94" s="49" t="s">
        <v>121</v>
      </c>
      <c r="AF94" s="49" t="s">
        <v>121</v>
      </c>
      <c r="AG94" s="45" t="s">
        <v>121</v>
      </c>
      <c r="AH94" s="49" t="s">
        <v>121</v>
      </c>
      <c r="AI94" s="48" t="s">
        <v>121</v>
      </c>
      <c r="AJ94" s="49" t="s">
        <v>121</v>
      </c>
      <c r="AK94" s="49" t="s">
        <v>121</v>
      </c>
      <c r="AL94" s="42" t="s">
        <v>121</v>
      </c>
      <c r="AM94" s="48" t="s">
        <v>121</v>
      </c>
      <c r="AN94" s="48" t="s">
        <v>121</v>
      </c>
      <c r="AO94" s="49" t="s">
        <v>121</v>
      </c>
      <c r="AP94" s="49" t="s">
        <v>121</v>
      </c>
      <c r="AQ94" s="49" t="s">
        <v>121</v>
      </c>
      <c r="AR94" s="49" t="s">
        <v>121</v>
      </c>
      <c r="AS94" s="49" t="s">
        <v>121</v>
      </c>
      <c r="AT94" s="49" t="s">
        <v>121</v>
      </c>
      <c r="AU94" s="49" t="s">
        <v>121</v>
      </c>
      <c r="AV94" s="49" t="s">
        <v>121</v>
      </c>
      <c r="AW94" s="41" t="s">
        <v>569</v>
      </c>
      <c r="AX94" s="41" t="s">
        <v>569</v>
      </c>
      <c r="AY94" s="54" t="s">
        <v>569</v>
      </c>
    </row>
    <row r="95" spans="2:51" s="37" customFormat="1" ht="26.25" x14ac:dyDescent="0.25">
      <c r="B95" s="38">
        <v>94</v>
      </c>
      <c r="C95" s="39">
        <v>2023</v>
      </c>
      <c r="D95" s="40" t="s">
        <v>849</v>
      </c>
      <c r="E95" s="41" t="s">
        <v>155</v>
      </c>
      <c r="F95" s="40" t="s">
        <v>97</v>
      </c>
      <c r="G95" s="40" t="s">
        <v>98</v>
      </c>
      <c r="H95" s="41" t="s">
        <v>850</v>
      </c>
      <c r="I95" s="25" t="s">
        <v>851</v>
      </c>
      <c r="J95" s="42" t="s">
        <v>852</v>
      </c>
      <c r="K95" s="42" t="s">
        <v>853</v>
      </c>
      <c r="L95" s="26">
        <v>1030579371</v>
      </c>
      <c r="M95" s="43" t="s">
        <v>854</v>
      </c>
      <c r="N95" s="44" t="s">
        <v>855</v>
      </c>
      <c r="O95" s="45">
        <f>38790000+15860800</f>
        <v>54650800</v>
      </c>
      <c r="P95" s="44">
        <v>44972</v>
      </c>
      <c r="Q95" s="43" t="s">
        <v>856</v>
      </c>
      <c r="R95" s="46">
        <v>44973</v>
      </c>
      <c r="S95" s="45" t="s">
        <v>162</v>
      </c>
      <c r="T95" s="46">
        <v>44973</v>
      </c>
      <c r="U95" s="45">
        <v>38790000</v>
      </c>
      <c r="V95" s="43" t="s">
        <v>857</v>
      </c>
      <c r="W95" s="44" t="s">
        <v>858</v>
      </c>
      <c r="X95" s="47">
        <f>38790000+15860800</f>
        <v>54650800</v>
      </c>
      <c r="Y95" s="46">
        <v>45199</v>
      </c>
      <c r="Z95" s="48" t="s">
        <v>109</v>
      </c>
      <c r="AA95" s="49"/>
      <c r="AB95" s="48"/>
      <c r="AC95" s="26"/>
      <c r="AD95" s="48"/>
      <c r="AE95" s="49"/>
      <c r="AF95" s="49">
        <v>45195</v>
      </c>
      <c r="AG95" s="45">
        <v>15860800</v>
      </c>
      <c r="AH95" s="50">
        <f>U95+AG95</f>
        <v>54650800</v>
      </c>
      <c r="AI95" s="48" t="s">
        <v>856</v>
      </c>
      <c r="AJ95" s="49">
        <v>45198</v>
      </c>
      <c r="AK95" s="49">
        <v>45195</v>
      </c>
      <c r="AL95" s="42" t="s">
        <v>524</v>
      </c>
      <c r="AM95" s="48" t="s">
        <v>856</v>
      </c>
      <c r="AN95" s="49">
        <v>45198</v>
      </c>
      <c r="AO95" s="38"/>
      <c r="AP95" s="38"/>
      <c r="AQ95" s="38"/>
      <c r="AR95" s="38"/>
      <c r="AS95" s="38"/>
      <c r="AT95" s="51"/>
      <c r="AU95" s="52"/>
      <c r="AV95" s="53">
        <v>45291</v>
      </c>
      <c r="AW95" s="41" t="s">
        <v>56</v>
      </c>
      <c r="AX95" s="40" t="s">
        <v>145</v>
      </c>
      <c r="AY95" s="54">
        <v>20235920001703</v>
      </c>
    </row>
    <row r="96" spans="2:51" s="37" customFormat="1" ht="17.25" customHeight="1" x14ac:dyDescent="0.25">
      <c r="B96" s="38">
        <v>95</v>
      </c>
      <c r="C96" s="39">
        <v>2023</v>
      </c>
      <c r="D96" s="40" t="s">
        <v>859</v>
      </c>
      <c r="E96" s="41" t="s">
        <v>153</v>
      </c>
      <c r="F96" s="40" t="s">
        <v>97</v>
      </c>
      <c r="G96" s="40" t="s">
        <v>98</v>
      </c>
      <c r="H96" s="41" t="s">
        <v>860</v>
      </c>
      <c r="I96" s="25" t="s">
        <v>861</v>
      </c>
      <c r="J96" s="42" t="s">
        <v>862</v>
      </c>
      <c r="K96" s="42" t="s">
        <v>863</v>
      </c>
      <c r="L96" s="26">
        <v>1026261313</v>
      </c>
      <c r="M96" s="43">
        <v>973</v>
      </c>
      <c r="N96" s="44">
        <v>44952</v>
      </c>
      <c r="O96" s="45">
        <v>337500000</v>
      </c>
      <c r="P96" s="44">
        <v>44970</v>
      </c>
      <c r="Q96" s="43" t="s">
        <v>864</v>
      </c>
      <c r="R96" s="46">
        <v>44970</v>
      </c>
      <c r="S96" s="45" t="s">
        <v>162</v>
      </c>
      <c r="T96" s="46">
        <v>44972</v>
      </c>
      <c r="U96" s="45">
        <v>22500000</v>
      </c>
      <c r="V96" s="43">
        <v>956</v>
      </c>
      <c r="W96" s="44">
        <v>44970</v>
      </c>
      <c r="X96" s="47">
        <v>22500000</v>
      </c>
      <c r="Y96" s="46">
        <v>45193</v>
      </c>
      <c r="Z96" s="48" t="s">
        <v>120</v>
      </c>
      <c r="AA96" s="49" t="s">
        <v>121</v>
      </c>
      <c r="AB96" s="48" t="s">
        <v>121</v>
      </c>
      <c r="AC96" s="48" t="s">
        <v>121</v>
      </c>
      <c r="AD96" s="48" t="s">
        <v>121</v>
      </c>
      <c r="AE96" s="48" t="s">
        <v>121</v>
      </c>
      <c r="AF96" s="48" t="s">
        <v>121</v>
      </c>
      <c r="AG96" s="48" t="s">
        <v>121</v>
      </c>
      <c r="AH96" s="48" t="s">
        <v>121</v>
      </c>
      <c r="AI96" s="48" t="s">
        <v>121</v>
      </c>
      <c r="AJ96" s="48" t="s">
        <v>121</v>
      </c>
      <c r="AK96" s="48" t="s">
        <v>121</v>
      </c>
      <c r="AL96" s="48" t="s">
        <v>121</v>
      </c>
      <c r="AM96" s="48" t="s">
        <v>121</v>
      </c>
      <c r="AN96" s="48" t="s">
        <v>121</v>
      </c>
      <c r="AO96" s="38" t="s">
        <v>121</v>
      </c>
      <c r="AP96" s="38" t="s">
        <v>121</v>
      </c>
      <c r="AQ96" s="38" t="s">
        <v>121</v>
      </c>
      <c r="AR96" s="38" t="s">
        <v>121</v>
      </c>
      <c r="AS96" s="38" t="s">
        <v>121</v>
      </c>
      <c r="AT96" s="38" t="s">
        <v>121</v>
      </c>
      <c r="AU96" s="38" t="s">
        <v>121</v>
      </c>
      <c r="AV96" s="38" t="s">
        <v>121</v>
      </c>
      <c r="AW96" s="41" t="s">
        <v>122</v>
      </c>
      <c r="AX96" s="40" t="s">
        <v>493</v>
      </c>
      <c r="AY96" s="54">
        <v>20235920002173</v>
      </c>
    </row>
    <row r="97" spans="2:51" s="37" customFormat="1" ht="17.25" customHeight="1" x14ac:dyDescent="0.25">
      <c r="B97" s="38">
        <v>96</v>
      </c>
      <c r="C97" s="39">
        <v>2023</v>
      </c>
      <c r="D97" s="40" t="s">
        <v>865</v>
      </c>
      <c r="E97" s="41" t="s">
        <v>96</v>
      </c>
      <c r="F97" s="40" t="s">
        <v>97</v>
      </c>
      <c r="G97" s="40" t="s">
        <v>98</v>
      </c>
      <c r="H97" s="41" t="s">
        <v>866</v>
      </c>
      <c r="I97" s="25" t="s">
        <v>867</v>
      </c>
      <c r="J97" s="42" t="s">
        <v>868</v>
      </c>
      <c r="K97" s="42" t="s">
        <v>184</v>
      </c>
      <c r="L97" s="26">
        <v>1022370104</v>
      </c>
      <c r="M97" s="43">
        <v>1005</v>
      </c>
      <c r="N97" s="44">
        <v>44967</v>
      </c>
      <c r="O97" s="45">
        <v>80000000</v>
      </c>
      <c r="P97" s="44">
        <v>44967</v>
      </c>
      <c r="Q97" s="43" t="s">
        <v>869</v>
      </c>
      <c r="R97" s="46">
        <v>44967</v>
      </c>
      <c r="S97" s="45" t="s">
        <v>870</v>
      </c>
      <c r="T97" s="46">
        <v>44967</v>
      </c>
      <c r="U97" s="45">
        <v>80000000</v>
      </c>
      <c r="V97" s="43">
        <v>952</v>
      </c>
      <c r="W97" s="44">
        <v>44967</v>
      </c>
      <c r="X97" s="47">
        <v>80000000</v>
      </c>
      <c r="Y97" s="46">
        <v>45269</v>
      </c>
      <c r="Z97" s="48" t="s">
        <v>120</v>
      </c>
      <c r="AA97" s="49"/>
      <c r="AB97" s="48"/>
      <c r="AC97" s="26"/>
      <c r="AD97" s="48"/>
      <c r="AE97" s="49"/>
      <c r="AF97" s="48"/>
      <c r="AG97" s="45"/>
      <c r="AH97" s="50">
        <f>U97+AG97</f>
        <v>80000000</v>
      </c>
      <c r="AI97" s="48"/>
      <c r="AJ97" s="48"/>
      <c r="AK97" s="48"/>
      <c r="AL97" s="42"/>
      <c r="AM97" s="48"/>
      <c r="AN97" s="48"/>
      <c r="AO97" s="38"/>
      <c r="AP97" s="38"/>
      <c r="AQ97" s="38"/>
      <c r="AR97" s="38"/>
      <c r="AS97" s="38"/>
      <c r="AT97" s="51"/>
      <c r="AU97" s="52"/>
      <c r="AV97" s="38"/>
      <c r="AW97" s="41" t="s">
        <v>56</v>
      </c>
      <c r="AX97" s="40" t="s">
        <v>195</v>
      </c>
      <c r="AY97" s="54" t="s">
        <v>121</v>
      </c>
    </row>
    <row r="98" spans="2:51" s="37" customFormat="1" ht="17.25" customHeight="1" x14ac:dyDescent="0.25">
      <c r="B98" s="38">
        <v>97</v>
      </c>
      <c r="C98" s="39">
        <v>2023</v>
      </c>
      <c r="D98" s="40" t="s">
        <v>871</v>
      </c>
      <c r="E98" s="41" t="s">
        <v>96</v>
      </c>
      <c r="F98" s="40" t="s">
        <v>97</v>
      </c>
      <c r="G98" s="40" t="s">
        <v>98</v>
      </c>
      <c r="H98" s="41" t="s">
        <v>872</v>
      </c>
      <c r="I98" s="25" t="s">
        <v>873</v>
      </c>
      <c r="J98" s="42" t="s">
        <v>874</v>
      </c>
      <c r="K98" s="42" t="s">
        <v>875</v>
      </c>
      <c r="L98" s="26">
        <v>80154713</v>
      </c>
      <c r="M98" s="43">
        <v>956</v>
      </c>
      <c r="N98" s="44">
        <v>44952</v>
      </c>
      <c r="O98" s="45">
        <v>30400000</v>
      </c>
      <c r="P98" s="44">
        <v>44967</v>
      </c>
      <c r="Q98" s="43" t="s">
        <v>876</v>
      </c>
      <c r="R98" s="46">
        <v>44967</v>
      </c>
      <c r="S98" s="45" t="s">
        <v>344</v>
      </c>
      <c r="T98" s="46">
        <v>44967</v>
      </c>
      <c r="U98" s="45">
        <v>15200000</v>
      </c>
      <c r="V98" s="43">
        <v>951</v>
      </c>
      <c r="W98" s="44">
        <v>44967</v>
      </c>
      <c r="X98" s="47">
        <v>15200000</v>
      </c>
      <c r="Y98" s="46">
        <v>45086</v>
      </c>
      <c r="Z98" s="48" t="s">
        <v>120</v>
      </c>
      <c r="AA98" s="49" t="s">
        <v>121</v>
      </c>
      <c r="AB98" s="49" t="s">
        <v>121</v>
      </c>
      <c r="AC98" s="26" t="s">
        <v>121</v>
      </c>
      <c r="AD98" s="49" t="s">
        <v>121</v>
      </c>
      <c r="AE98" s="49" t="s">
        <v>121</v>
      </c>
      <c r="AF98" s="48"/>
      <c r="AG98" s="45"/>
      <c r="AH98" s="50">
        <f>U98+AG98</f>
        <v>15200000</v>
      </c>
      <c r="AI98" s="50" t="s">
        <v>121</v>
      </c>
      <c r="AJ98" s="50" t="s">
        <v>121</v>
      </c>
      <c r="AK98" s="50" t="s">
        <v>121</v>
      </c>
      <c r="AL98" s="50" t="s">
        <v>121</v>
      </c>
      <c r="AM98" s="50" t="s">
        <v>121</v>
      </c>
      <c r="AN98" s="50" t="s">
        <v>121</v>
      </c>
      <c r="AO98" s="50" t="s">
        <v>121</v>
      </c>
      <c r="AP98" s="50" t="s">
        <v>121</v>
      </c>
      <c r="AQ98" s="50" t="s">
        <v>121</v>
      </c>
      <c r="AR98" s="50" t="s">
        <v>121</v>
      </c>
      <c r="AS98" s="50" t="s">
        <v>121</v>
      </c>
      <c r="AT98" s="50" t="s">
        <v>121</v>
      </c>
      <c r="AU98" s="50" t="s">
        <v>121</v>
      </c>
      <c r="AV98" s="49" t="s">
        <v>121</v>
      </c>
      <c r="AW98" s="41" t="s">
        <v>122</v>
      </c>
      <c r="AX98" s="40" t="s">
        <v>195</v>
      </c>
      <c r="AY98" s="54" t="s">
        <v>121</v>
      </c>
    </row>
    <row r="99" spans="2:51" s="37" customFormat="1" ht="26.25" x14ac:dyDescent="0.25">
      <c r="B99" s="38">
        <v>98</v>
      </c>
      <c r="C99" s="39">
        <v>2023</v>
      </c>
      <c r="D99" s="40" t="s">
        <v>877</v>
      </c>
      <c r="E99" s="41" t="s">
        <v>518</v>
      </c>
      <c r="F99" s="40" t="s">
        <v>97</v>
      </c>
      <c r="G99" s="40" t="s">
        <v>98</v>
      </c>
      <c r="H99" s="41" t="s">
        <v>878</v>
      </c>
      <c r="I99" s="25" t="s">
        <v>879</v>
      </c>
      <c r="J99" s="42" t="s">
        <v>880</v>
      </c>
      <c r="K99" s="42" t="s">
        <v>881</v>
      </c>
      <c r="L99" s="26">
        <v>80183498</v>
      </c>
      <c r="M99" s="43" t="s">
        <v>882</v>
      </c>
      <c r="N99" s="44" t="s">
        <v>883</v>
      </c>
      <c r="O99" s="45">
        <f>40500000+16020000</f>
        <v>56520000</v>
      </c>
      <c r="P99" s="44">
        <v>44972</v>
      </c>
      <c r="Q99" s="43" t="s">
        <v>884</v>
      </c>
      <c r="R99" s="46">
        <v>44973</v>
      </c>
      <c r="S99" s="45" t="s">
        <v>162</v>
      </c>
      <c r="T99" s="46">
        <v>44974</v>
      </c>
      <c r="U99" s="45">
        <v>40500000</v>
      </c>
      <c r="V99" s="43" t="s">
        <v>885</v>
      </c>
      <c r="W99" s="44" t="s">
        <v>886</v>
      </c>
      <c r="X99" s="47">
        <f>40500000+16020000</f>
        <v>56520000</v>
      </c>
      <c r="Y99" s="46">
        <v>45200</v>
      </c>
      <c r="Z99" s="48" t="s">
        <v>109</v>
      </c>
      <c r="AA99" s="49"/>
      <c r="AB99" s="48"/>
      <c r="AC99" s="26"/>
      <c r="AD99" s="43"/>
      <c r="AE99" s="49"/>
      <c r="AF99" s="49">
        <v>45198</v>
      </c>
      <c r="AG99" s="45">
        <v>16020000</v>
      </c>
      <c r="AH99" s="50">
        <f>U99+AG99</f>
        <v>56520000</v>
      </c>
      <c r="AI99" s="43" t="s">
        <v>884</v>
      </c>
      <c r="AJ99" s="49">
        <v>45203</v>
      </c>
      <c r="AK99" s="49">
        <v>45198</v>
      </c>
      <c r="AL99" s="42" t="s">
        <v>887</v>
      </c>
      <c r="AM99" s="43" t="s">
        <v>884</v>
      </c>
      <c r="AN99" s="49">
        <v>45203</v>
      </c>
      <c r="AO99" s="38"/>
      <c r="AP99" s="38"/>
      <c r="AQ99" s="38"/>
      <c r="AR99" s="38"/>
      <c r="AS99" s="38"/>
      <c r="AT99" s="51"/>
      <c r="AU99" s="52"/>
      <c r="AV99" s="53">
        <v>45291</v>
      </c>
      <c r="AW99" s="41" t="s">
        <v>56</v>
      </c>
      <c r="AX99" s="40" t="s">
        <v>309</v>
      </c>
      <c r="AY99" s="54">
        <v>20235920004783</v>
      </c>
    </row>
    <row r="100" spans="2:51" s="37" customFormat="1" ht="26.25" x14ac:dyDescent="0.25">
      <c r="B100" s="38">
        <v>99</v>
      </c>
      <c r="C100" s="39">
        <v>2023</v>
      </c>
      <c r="D100" s="40" t="s">
        <v>888</v>
      </c>
      <c r="E100" s="41" t="s">
        <v>518</v>
      </c>
      <c r="F100" s="40" t="s">
        <v>97</v>
      </c>
      <c r="G100" s="40" t="s">
        <v>98</v>
      </c>
      <c r="H100" s="41" t="s">
        <v>889</v>
      </c>
      <c r="I100" s="25" t="s">
        <v>890</v>
      </c>
      <c r="J100" s="42" t="s">
        <v>891</v>
      </c>
      <c r="K100" s="42" t="s">
        <v>892</v>
      </c>
      <c r="L100" s="26">
        <v>1010071012</v>
      </c>
      <c r="M100" s="43" t="s">
        <v>893</v>
      </c>
      <c r="N100" s="44" t="s">
        <v>894</v>
      </c>
      <c r="O100" s="45">
        <f>30000000+12400000</f>
        <v>42400000</v>
      </c>
      <c r="P100" s="44">
        <v>44971</v>
      </c>
      <c r="Q100" s="43" t="s">
        <v>895</v>
      </c>
      <c r="R100" s="46">
        <v>44972</v>
      </c>
      <c r="S100" s="45" t="s">
        <v>162</v>
      </c>
      <c r="T100" s="46">
        <v>44972</v>
      </c>
      <c r="U100" s="45">
        <v>30000000</v>
      </c>
      <c r="V100" s="43" t="s">
        <v>896</v>
      </c>
      <c r="W100" s="44" t="s">
        <v>897</v>
      </c>
      <c r="X100" s="47">
        <f>30000000+12400000</f>
        <v>42400000</v>
      </c>
      <c r="Y100" s="46">
        <v>45198</v>
      </c>
      <c r="Z100" s="48" t="s">
        <v>109</v>
      </c>
      <c r="AA100" s="49"/>
      <c r="AB100" s="48"/>
      <c r="AC100" s="26"/>
      <c r="AD100" s="48"/>
      <c r="AE100" s="49"/>
      <c r="AF100" s="49">
        <v>45196</v>
      </c>
      <c r="AG100" s="45">
        <v>12400000</v>
      </c>
      <c r="AH100" s="50">
        <f>U100+AG100</f>
        <v>42400000</v>
      </c>
      <c r="AI100" s="48" t="s">
        <v>895</v>
      </c>
      <c r="AJ100" s="49">
        <v>45202</v>
      </c>
      <c r="AK100" s="49">
        <v>45196</v>
      </c>
      <c r="AL100" s="42" t="s">
        <v>898</v>
      </c>
      <c r="AM100" s="48" t="s">
        <v>895</v>
      </c>
      <c r="AN100" s="49">
        <v>45202</v>
      </c>
      <c r="AO100" s="38"/>
      <c r="AP100" s="38"/>
      <c r="AQ100" s="38"/>
      <c r="AR100" s="38"/>
      <c r="AS100" s="38"/>
      <c r="AT100" s="51"/>
      <c r="AU100" s="52"/>
      <c r="AV100" s="53">
        <v>45291</v>
      </c>
      <c r="AW100" s="41" t="s">
        <v>56</v>
      </c>
      <c r="AX100" s="40" t="s">
        <v>493</v>
      </c>
      <c r="AY100" s="54">
        <v>20235920002083</v>
      </c>
    </row>
    <row r="101" spans="2:51" s="37" customFormat="1" ht="26.25" x14ac:dyDescent="0.25">
      <c r="B101" s="38">
        <v>100</v>
      </c>
      <c r="C101" s="39">
        <v>2023</v>
      </c>
      <c r="D101" s="40" t="s">
        <v>899</v>
      </c>
      <c r="E101" s="41" t="s">
        <v>155</v>
      </c>
      <c r="F101" s="40" t="s">
        <v>97</v>
      </c>
      <c r="G101" s="40" t="s">
        <v>98</v>
      </c>
      <c r="H101" s="41" t="s">
        <v>900</v>
      </c>
      <c r="I101" s="25" t="s">
        <v>901</v>
      </c>
      <c r="J101" s="42" t="s">
        <v>549</v>
      </c>
      <c r="K101" s="42" t="s">
        <v>902</v>
      </c>
      <c r="L101" s="26">
        <v>1143382018</v>
      </c>
      <c r="M101" s="43" t="s">
        <v>903</v>
      </c>
      <c r="N101" s="44" t="s">
        <v>904</v>
      </c>
      <c r="O101" s="45">
        <f>135600000+12354667</f>
        <v>147954667</v>
      </c>
      <c r="P101" s="44">
        <v>44978</v>
      </c>
      <c r="Q101" s="43" t="s">
        <v>905</v>
      </c>
      <c r="R101" s="46">
        <v>44979</v>
      </c>
      <c r="S101" s="45" t="s">
        <v>162</v>
      </c>
      <c r="T101" s="46">
        <v>44980</v>
      </c>
      <c r="U101" s="45">
        <v>33900000</v>
      </c>
      <c r="V101" s="43" t="s">
        <v>906</v>
      </c>
      <c r="W101" s="44" t="s">
        <v>907</v>
      </c>
      <c r="X101" s="47">
        <f>33900000+12354667</f>
        <v>46254667</v>
      </c>
      <c r="Y101" s="46">
        <v>45207</v>
      </c>
      <c r="Z101" s="48" t="s">
        <v>109</v>
      </c>
      <c r="AA101" s="49"/>
      <c r="AB101" s="48"/>
      <c r="AC101" s="26"/>
      <c r="AD101" s="43"/>
      <c r="AE101" s="49"/>
      <c r="AF101" s="49">
        <v>45205</v>
      </c>
      <c r="AG101" s="45">
        <v>12354667</v>
      </c>
      <c r="AH101" s="50">
        <f>U101+AG101</f>
        <v>46254667</v>
      </c>
      <c r="AI101" s="43" t="s">
        <v>905</v>
      </c>
      <c r="AJ101" s="49">
        <v>45216</v>
      </c>
      <c r="AK101" s="49">
        <v>45205</v>
      </c>
      <c r="AL101" s="42" t="s">
        <v>908</v>
      </c>
      <c r="AM101" s="43" t="s">
        <v>905</v>
      </c>
      <c r="AN101" s="49">
        <v>45216</v>
      </c>
      <c r="AO101" s="38"/>
      <c r="AP101" s="38"/>
      <c r="AQ101" s="38"/>
      <c r="AR101" s="38"/>
      <c r="AS101" s="38"/>
      <c r="AT101" s="51"/>
      <c r="AU101" s="52"/>
      <c r="AV101" s="53">
        <v>45291</v>
      </c>
      <c r="AW101" s="41" t="s">
        <v>56</v>
      </c>
      <c r="AX101" s="40" t="s">
        <v>552</v>
      </c>
      <c r="AY101" s="54">
        <v>20235920002103</v>
      </c>
    </row>
    <row r="102" spans="2:51" s="37" customFormat="1" ht="17.25" customHeight="1" x14ac:dyDescent="0.25">
      <c r="B102" s="38">
        <v>101</v>
      </c>
      <c r="C102" s="39">
        <v>2023</v>
      </c>
      <c r="D102" s="40" t="s">
        <v>909</v>
      </c>
      <c r="E102" s="41" t="s">
        <v>153</v>
      </c>
      <c r="F102" s="40" t="s">
        <v>97</v>
      </c>
      <c r="G102" s="40" t="s">
        <v>98</v>
      </c>
      <c r="H102" s="41" t="s">
        <v>910</v>
      </c>
      <c r="I102" s="25" t="s">
        <v>569</v>
      </c>
      <c r="J102" s="42" t="s">
        <v>569</v>
      </c>
      <c r="K102" s="42" t="s">
        <v>911</v>
      </c>
      <c r="L102" s="26">
        <v>1022933464</v>
      </c>
      <c r="M102" s="43">
        <v>973</v>
      </c>
      <c r="N102" s="44">
        <v>44952</v>
      </c>
      <c r="O102" s="45">
        <v>337500000</v>
      </c>
      <c r="P102" s="43" t="s">
        <v>569</v>
      </c>
      <c r="Q102" s="43" t="s">
        <v>569</v>
      </c>
      <c r="R102" s="43" t="s">
        <v>569</v>
      </c>
      <c r="S102" s="43" t="s">
        <v>569</v>
      </c>
      <c r="T102" s="43" t="s">
        <v>569</v>
      </c>
      <c r="U102" s="43" t="s">
        <v>569</v>
      </c>
      <c r="V102" s="43" t="s">
        <v>569</v>
      </c>
      <c r="W102" s="44" t="s">
        <v>569</v>
      </c>
      <c r="X102" s="43" t="s">
        <v>569</v>
      </c>
      <c r="Y102" s="43" t="s">
        <v>569</v>
      </c>
      <c r="Z102" s="48" t="s">
        <v>120</v>
      </c>
      <c r="AA102" s="49" t="s">
        <v>121</v>
      </c>
      <c r="AB102" s="49" t="s">
        <v>121</v>
      </c>
      <c r="AC102" s="26" t="s">
        <v>121</v>
      </c>
      <c r="AD102" s="49" t="s">
        <v>121</v>
      </c>
      <c r="AE102" s="49" t="s">
        <v>121</v>
      </c>
      <c r="AF102" s="49" t="s">
        <v>121</v>
      </c>
      <c r="AG102" s="45" t="s">
        <v>121</v>
      </c>
      <c r="AH102" s="49" t="s">
        <v>121</v>
      </c>
      <c r="AI102" s="48" t="s">
        <v>121</v>
      </c>
      <c r="AJ102" s="49" t="s">
        <v>121</v>
      </c>
      <c r="AK102" s="49" t="s">
        <v>121</v>
      </c>
      <c r="AL102" s="42" t="s">
        <v>121</v>
      </c>
      <c r="AM102" s="48" t="s">
        <v>121</v>
      </c>
      <c r="AN102" s="48" t="s">
        <v>121</v>
      </c>
      <c r="AO102" s="49" t="s">
        <v>121</v>
      </c>
      <c r="AP102" s="49" t="s">
        <v>121</v>
      </c>
      <c r="AQ102" s="49" t="s">
        <v>121</v>
      </c>
      <c r="AR102" s="49" t="s">
        <v>121</v>
      </c>
      <c r="AS102" s="49" t="s">
        <v>121</v>
      </c>
      <c r="AT102" s="49" t="s">
        <v>121</v>
      </c>
      <c r="AU102" s="49" t="s">
        <v>121</v>
      </c>
      <c r="AV102" s="49" t="s">
        <v>121</v>
      </c>
      <c r="AW102" s="41" t="s">
        <v>569</v>
      </c>
      <c r="AX102" s="41" t="s">
        <v>569</v>
      </c>
      <c r="AY102" s="54" t="s">
        <v>569</v>
      </c>
    </row>
    <row r="103" spans="2:51" s="37" customFormat="1" ht="26.25" x14ac:dyDescent="0.25">
      <c r="B103" s="38">
        <v>102</v>
      </c>
      <c r="C103" s="39">
        <v>2023</v>
      </c>
      <c r="D103" s="40" t="s">
        <v>912</v>
      </c>
      <c r="E103" s="41" t="s">
        <v>96</v>
      </c>
      <c r="F103" s="40" t="s">
        <v>97</v>
      </c>
      <c r="G103" s="40" t="s">
        <v>98</v>
      </c>
      <c r="H103" s="41" t="s">
        <v>913</v>
      </c>
      <c r="I103" s="25" t="s">
        <v>914</v>
      </c>
      <c r="J103" s="42" t="s">
        <v>915</v>
      </c>
      <c r="K103" s="42" t="s">
        <v>916</v>
      </c>
      <c r="L103" s="26">
        <v>1019982808</v>
      </c>
      <c r="M103" s="43" t="s">
        <v>917</v>
      </c>
      <c r="N103" s="44" t="s">
        <v>855</v>
      </c>
      <c r="O103" s="45">
        <f>14107500+3621733</f>
        <v>17729233</v>
      </c>
      <c r="P103" s="44">
        <v>44971</v>
      </c>
      <c r="Q103" s="43" t="s">
        <v>918</v>
      </c>
      <c r="R103" s="46">
        <v>44973</v>
      </c>
      <c r="S103" s="45" t="s">
        <v>162</v>
      </c>
      <c r="T103" s="46">
        <v>44973</v>
      </c>
      <c r="U103" s="45">
        <v>14107500</v>
      </c>
      <c r="V103" s="43" t="s">
        <v>919</v>
      </c>
      <c r="W103" s="44" t="s">
        <v>920</v>
      </c>
      <c r="X103" s="47">
        <f>14107500+3621733</f>
        <v>17729233</v>
      </c>
      <c r="Y103" s="46">
        <v>45199</v>
      </c>
      <c r="Z103" s="48" t="s">
        <v>109</v>
      </c>
      <c r="AA103" s="49"/>
      <c r="AB103" s="48"/>
      <c r="AC103" s="26"/>
      <c r="AD103" s="48"/>
      <c r="AE103" s="49"/>
      <c r="AF103" s="49">
        <v>45191</v>
      </c>
      <c r="AG103" s="45">
        <v>3621733</v>
      </c>
      <c r="AH103" s="50">
        <f>U103+AG103</f>
        <v>17729233</v>
      </c>
      <c r="AI103" s="48" t="s">
        <v>918</v>
      </c>
      <c r="AJ103" s="49">
        <v>45218</v>
      </c>
      <c r="AK103" s="49">
        <v>45191</v>
      </c>
      <c r="AL103" s="42" t="s">
        <v>524</v>
      </c>
      <c r="AM103" s="48" t="s">
        <v>918</v>
      </c>
      <c r="AN103" s="49">
        <v>45218</v>
      </c>
      <c r="AO103" s="38"/>
      <c r="AP103" s="38"/>
      <c r="AQ103" s="38"/>
      <c r="AR103" s="38"/>
      <c r="AS103" s="38"/>
      <c r="AT103" s="51"/>
      <c r="AU103" s="52"/>
      <c r="AV103" s="53">
        <v>45257</v>
      </c>
      <c r="AW103" s="41" t="s">
        <v>56</v>
      </c>
      <c r="AX103" s="40" t="s">
        <v>493</v>
      </c>
      <c r="AY103" s="54">
        <v>20235920001983</v>
      </c>
    </row>
    <row r="104" spans="2:51" s="37" customFormat="1" ht="26.25" x14ac:dyDescent="0.25">
      <c r="B104" s="38">
        <v>103</v>
      </c>
      <c r="C104" s="39">
        <v>2023</v>
      </c>
      <c r="D104" s="40" t="s">
        <v>921</v>
      </c>
      <c r="E104" s="41" t="s">
        <v>96</v>
      </c>
      <c r="F104" s="40" t="s">
        <v>97</v>
      </c>
      <c r="G104" s="40" t="s">
        <v>98</v>
      </c>
      <c r="H104" s="41" t="s">
        <v>922</v>
      </c>
      <c r="I104" s="25" t="s">
        <v>923</v>
      </c>
      <c r="J104" s="42" t="s">
        <v>924</v>
      </c>
      <c r="K104" s="42" t="s">
        <v>417</v>
      </c>
      <c r="L104" s="26">
        <v>1030655534</v>
      </c>
      <c r="M104" s="43" t="s">
        <v>925</v>
      </c>
      <c r="N104" s="44" t="s">
        <v>437</v>
      </c>
      <c r="O104" s="45">
        <f>41250000+16866667</f>
        <v>58116667</v>
      </c>
      <c r="P104" s="44">
        <v>44972</v>
      </c>
      <c r="Q104" s="43" t="s">
        <v>926</v>
      </c>
      <c r="R104" s="46">
        <v>44973</v>
      </c>
      <c r="S104" s="45" t="s">
        <v>162</v>
      </c>
      <c r="T104" s="46">
        <v>44973</v>
      </c>
      <c r="U104" s="45">
        <v>41250000</v>
      </c>
      <c r="V104" s="43" t="s">
        <v>927</v>
      </c>
      <c r="W104" s="44" t="s">
        <v>928</v>
      </c>
      <c r="X104" s="47">
        <f>41250000+16866667</f>
        <v>58116667</v>
      </c>
      <c r="Y104" s="46">
        <v>45199</v>
      </c>
      <c r="Z104" s="48" t="s">
        <v>109</v>
      </c>
      <c r="AA104" s="49"/>
      <c r="AB104" s="48"/>
      <c r="AC104" s="26"/>
      <c r="AD104" s="48"/>
      <c r="AE104" s="49"/>
      <c r="AF104" s="49">
        <v>45194</v>
      </c>
      <c r="AG104" s="45">
        <v>16866667</v>
      </c>
      <c r="AH104" s="50">
        <f>U104+AG104</f>
        <v>58116667</v>
      </c>
      <c r="AI104" s="48" t="s">
        <v>926</v>
      </c>
      <c r="AJ104" s="49">
        <v>45203</v>
      </c>
      <c r="AK104" s="49">
        <v>45194</v>
      </c>
      <c r="AL104" s="42" t="s">
        <v>524</v>
      </c>
      <c r="AM104" s="48" t="s">
        <v>926</v>
      </c>
      <c r="AN104" s="49">
        <v>45203</v>
      </c>
      <c r="AO104" s="38"/>
      <c r="AP104" s="38"/>
      <c r="AQ104" s="38"/>
      <c r="AR104" s="38"/>
      <c r="AS104" s="38"/>
      <c r="AT104" s="51"/>
      <c r="AU104" s="52"/>
      <c r="AV104" s="53">
        <v>45291</v>
      </c>
      <c r="AW104" s="41" t="s">
        <v>56</v>
      </c>
      <c r="AX104" s="40" t="s">
        <v>271</v>
      </c>
      <c r="AY104" s="54">
        <v>20235920001853</v>
      </c>
    </row>
    <row r="105" spans="2:51" s="37" customFormat="1" ht="26.25" x14ac:dyDescent="0.25">
      <c r="B105" s="38">
        <v>104</v>
      </c>
      <c r="C105" s="39">
        <v>2023</v>
      </c>
      <c r="D105" s="40" t="s">
        <v>929</v>
      </c>
      <c r="E105" s="41" t="s">
        <v>153</v>
      </c>
      <c r="F105" s="40" t="s">
        <v>97</v>
      </c>
      <c r="G105" s="40" t="s">
        <v>98</v>
      </c>
      <c r="H105" s="41" t="s">
        <v>930</v>
      </c>
      <c r="I105" s="25" t="s">
        <v>931</v>
      </c>
      <c r="J105" s="42" t="s">
        <v>656</v>
      </c>
      <c r="K105" s="42" t="s">
        <v>932</v>
      </c>
      <c r="L105" s="26">
        <v>1010193069</v>
      </c>
      <c r="M105" s="43" t="s">
        <v>933</v>
      </c>
      <c r="N105" s="44" t="s">
        <v>934</v>
      </c>
      <c r="O105" s="45">
        <f>82500000+15766667</f>
        <v>98266667</v>
      </c>
      <c r="P105" s="44">
        <v>44973</v>
      </c>
      <c r="Q105" s="43" t="s">
        <v>935</v>
      </c>
      <c r="R105" s="46">
        <v>44973</v>
      </c>
      <c r="S105" s="45" t="s">
        <v>162</v>
      </c>
      <c r="T105" s="46">
        <v>44977</v>
      </c>
      <c r="U105" s="45">
        <v>41250000</v>
      </c>
      <c r="V105" s="43" t="s">
        <v>936</v>
      </c>
      <c r="W105" s="44" t="s">
        <v>937</v>
      </c>
      <c r="X105" s="47">
        <f>41250000+15766667</f>
        <v>57016667</v>
      </c>
      <c r="Y105" s="46">
        <v>45203</v>
      </c>
      <c r="Z105" s="48" t="s">
        <v>109</v>
      </c>
      <c r="AA105" s="49"/>
      <c r="AB105" s="48"/>
      <c r="AC105" s="26"/>
      <c r="AD105" s="43"/>
      <c r="AE105" s="49"/>
      <c r="AF105" s="49">
        <v>45202</v>
      </c>
      <c r="AG105" s="45">
        <v>15766667</v>
      </c>
      <c r="AH105" s="50">
        <f>U105+AG105</f>
        <v>57016667</v>
      </c>
      <c r="AI105" s="43" t="s">
        <v>935</v>
      </c>
      <c r="AJ105" s="49">
        <v>45204</v>
      </c>
      <c r="AK105" s="49">
        <v>45202</v>
      </c>
      <c r="AL105" s="42" t="s">
        <v>938</v>
      </c>
      <c r="AM105" s="43" t="s">
        <v>935</v>
      </c>
      <c r="AN105" s="49">
        <v>45204</v>
      </c>
      <c r="AO105" s="38"/>
      <c r="AP105" s="38"/>
      <c r="AQ105" s="38"/>
      <c r="AR105" s="38"/>
      <c r="AS105" s="38"/>
      <c r="AT105" s="51"/>
      <c r="AU105" s="52"/>
      <c r="AV105" s="53">
        <v>45291</v>
      </c>
      <c r="AW105" s="41" t="s">
        <v>56</v>
      </c>
      <c r="AX105" s="40" t="s">
        <v>271</v>
      </c>
      <c r="AY105" s="54">
        <v>20235920002213</v>
      </c>
    </row>
    <row r="106" spans="2:51" s="37" customFormat="1" ht="26.25" x14ac:dyDescent="0.25">
      <c r="B106" s="38">
        <v>105</v>
      </c>
      <c r="C106" s="39">
        <v>2023</v>
      </c>
      <c r="D106" s="40" t="s">
        <v>939</v>
      </c>
      <c r="E106" s="41" t="s">
        <v>153</v>
      </c>
      <c r="F106" s="40" t="s">
        <v>97</v>
      </c>
      <c r="G106" s="40" t="s">
        <v>98</v>
      </c>
      <c r="H106" s="41" t="s">
        <v>940</v>
      </c>
      <c r="I106" s="25" t="s">
        <v>941</v>
      </c>
      <c r="J106" s="42" t="s">
        <v>656</v>
      </c>
      <c r="K106" s="42" t="s">
        <v>942</v>
      </c>
      <c r="L106" s="26">
        <v>1016055959</v>
      </c>
      <c r="M106" s="43" t="s">
        <v>943</v>
      </c>
      <c r="N106" s="44" t="s">
        <v>944</v>
      </c>
      <c r="O106" s="45">
        <f>82500000+15766667</f>
        <v>98266667</v>
      </c>
      <c r="P106" s="44">
        <v>44973</v>
      </c>
      <c r="Q106" s="43" t="s">
        <v>945</v>
      </c>
      <c r="R106" s="46">
        <v>44973</v>
      </c>
      <c r="S106" s="45" t="s">
        <v>162</v>
      </c>
      <c r="T106" s="46">
        <v>44977</v>
      </c>
      <c r="U106" s="45">
        <v>41250000</v>
      </c>
      <c r="V106" s="43" t="s">
        <v>946</v>
      </c>
      <c r="W106" s="44" t="s">
        <v>937</v>
      </c>
      <c r="X106" s="47">
        <f>41250000+15766667</f>
        <v>57016667</v>
      </c>
      <c r="Y106" s="46">
        <v>45203</v>
      </c>
      <c r="Z106" s="48" t="s">
        <v>109</v>
      </c>
      <c r="AA106" s="49"/>
      <c r="AB106" s="48"/>
      <c r="AC106" s="26"/>
      <c r="AD106" s="43"/>
      <c r="AE106" s="49"/>
      <c r="AF106" s="49">
        <v>45202</v>
      </c>
      <c r="AG106" s="45">
        <v>15766667</v>
      </c>
      <c r="AH106" s="50">
        <f>U106+AG106</f>
        <v>57016667</v>
      </c>
      <c r="AI106" s="43" t="s">
        <v>945</v>
      </c>
      <c r="AJ106" s="49">
        <v>45211</v>
      </c>
      <c r="AK106" s="49">
        <v>45202</v>
      </c>
      <c r="AL106" s="42" t="s">
        <v>947</v>
      </c>
      <c r="AM106" s="43" t="s">
        <v>945</v>
      </c>
      <c r="AN106" s="49">
        <v>45211</v>
      </c>
      <c r="AO106" s="38"/>
      <c r="AP106" s="38"/>
      <c r="AQ106" s="38"/>
      <c r="AR106" s="38"/>
      <c r="AS106" s="38"/>
      <c r="AT106" s="51"/>
      <c r="AU106" s="52"/>
      <c r="AV106" s="53">
        <v>45291</v>
      </c>
      <c r="AW106" s="41" t="s">
        <v>56</v>
      </c>
      <c r="AX106" s="40" t="s">
        <v>271</v>
      </c>
      <c r="AY106" s="54">
        <v>20235920002473</v>
      </c>
    </row>
    <row r="107" spans="2:51" s="37" customFormat="1" ht="26.25" x14ac:dyDescent="0.25">
      <c r="B107" s="38">
        <v>106</v>
      </c>
      <c r="C107" s="39">
        <v>2023</v>
      </c>
      <c r="D107" s="40" t="s">
        <v>948</v>
      </c>
      <c r="E107" s="41" t="s">
        <v>324</v>
      </c>
      <c r="F107" s="40" t="s">
        <v>97</v>
      </c>
      <c r="G107" s="40" t="s">
        <v>98</v>
      </c>
      <c r="H107" s="41" t="s">
        <v>949</v>
      </c>
      <c r="I107" s="25" t="s">
        <v>950</v>
      </c>
      <c r="J107" s="42" t="s">
        <v>802</v>
      </c>
      <c r="K107" s="42" t="s">
        <v>951</v>
      </c>
      <c r="L107" s="26">
        <v>80214835</v>
      </c>
      <c r="M107" s="43" t="s">
        <v>952</v>
      </c>
      <c r="N107" s="44" t="s">
        <v>953</v>
      </c>
      <c r="O107" s="45">
        <f>405000000+18400000</f>
        <v>423400000</v>
      </c>
      <c r="P107" s="44">
        <v>44971</v>
      </c>
      <c r="Q107" s="43" t="s">
        <v>954</v>
      </c>
      <c r="R107" s="46">
        <v>44973</v>
      </c>
      <c r="S107" s="45" t="s">
        <v>162</v>
      </c>
      <c r="T107" s="46">
        <v>44973</v>
      </c>
      <c r="U107" s="45">
        <v>45000000</v>
      </c>
      <c r="V107" s="43" t="s">
        <v>955</v>
      </c>
      <c r="W107" s="44" t="s">
        <v>956</v>
      </c>
      <c r="X107" s="47">
        <f>45000000+18400000</f>
        <v>63400000</v>
      </c>
      <c r="Y107" s="46">
        <v>45199</v>
      </c>
      <c r="Z107" s="48" t="s">
        <v>109</v>
      </c>
      <c r="AA107" s="49"/>
      <c r="AB107" s="48"/>
      <c r="AC107" s="26"/>
      <c r="AD107" s="48"/>
      <c r="AE107" s="49"/>
      <c r="AF107" s="49">
        <v>45197</v>
      </c>
      <c r="AG107" s="45">
        <v>18400000</v>
      </c>
      <c r="AH107" s="50">
        <f>U107+AG107</f>
        <v>63400000</v>
      </c>
      <c r="AI107" s="48" t="s">
        <v>954</v>
      </c>
      <c r="AJ107" s="49">
        <v>45204</v>
      </c>
      <c r="AK107" s="49">
        <v>45197</v>
      </c>
      <c r="AL107" s="42" t="s">
        <v>524</v>
      </c>
      <c r="AM107" s="48" t="s">
        <v>954</v>
      </c>
      <c r="AN107" s="49">
        <v>45204</v>
      </c>
      <c r="AO107" s="38"/>
      <c r="AP107" s="38"/>
      <c r="AQ107" s="38"/>
      <c r="AR107" s="38"/>
      <c r="AS107" s="38"/>
      <c r="AT107" s="51"/>
      <c r="AU107" s="52"/>
      <c r="AV107" s="53">
        <v>45291</v>
      </c>
      <c r="AW107" s="41" t="s">
        <v>56</v>
      </c>
      <c r="AX107" s="40" t="s">
        <v>145</v>
      </c>
      <c r="AY107" s="54">
        <v>20235920001813</v>
      </c>
    </row>
    <row r="108" spans="2:51" s="37" customFormat="1" ht="26.25" x14ac:dyDescent="0.25">
      <c r="B108" s="38">
        <v>107</v>
      </c>
      <c r="C108" s="39">
        <v>2023</v>
      </c>
      <c r="D108" s="40" t="s">
        <v>957</v>
      </c>
      <c r="E108" s="41" t="s">
        <v>128</v>
      </c>
      <c r="F108" s="40" t="s">
        <v>97</v>
      </c>
      <c r="G108" s="40" t="s">
        <v>98</v>
      </c>
      <c r="H108" s="41" t="s">
        <v>958</v>
      </c>
      <c r="I108" s="25" t="s">
        <v>959</v>
      </c>
      <c r="J108" s="42" t="s">
        <v>960</v>
      </c>
      <c r="K108" s="42" t="s">
        <v>961</v>
      </c>
      <c r="L108" s="26">
        <v>39749748</v>
      </c>
      <c r="M108" s="43" t="s">
        <v>962</v>
      </c>
      <c r="N108" s="44" t="s">
        <v>963</v>
      </c>
      <c r="O108" s="45">
        <f>54000000+11040000</f>
        <v>65040000</v>
      </c>
      <c r="P108" s="44">
        <v>44972</v>
      </c>
      <c r="Q108" s="43" t="s">
        <v>964</v>
      </c>
      <c r="R108" s="46">
        <v>44973</v>
      </c>
      <c r="S108" s="45" t="s">
        <v>162</v>
      </c>
      <c r="T108" s="46">
        <v>44973</v>
      </c>
      <c r="U108" s="45">
        <v>27000000</v>
      </c>
      <c r="V108" s="43" t="s">
        <v>965</v>
      </c>
      <c r="W108" s="44" t="s">
        <v>966</v>
      </c>
      <c r="X108" s="47">
        <f>27000000+11040000</f>
        <v>38040000</v>
      </c>
      <c r="Y108" s="46">
        <v>45199</v>
      </c>
      <c r="Z108" s="48" t="s">
        <v>109</v>
      </c>
      <c r="AA108" s="49"/>
      <c r="AB108" s="48"/>
      <c r="AC108" s="26"/>
      <c r="AD108" s="48"/>
      <c r="AE108" s="49"/>
      <c r="AF108" s="49">
        <v>45189</v>
      </c>
      <c r="AG108" s="45">
        <v>11040000</v>
      </c>
      <c r="AH108" s="50">
        <f>U108+AG108</f>
        <v>38040000</v>
      </c>
      <c r="AI108" s="48" t="s">
        <v>964</v>
      </c>
      <c r="AJ108" s="49">
        <v>45190</v>
      </c>
      <c r="AK108" s="49">
        <v>45189</v>
      </c>
      <c r="AL108" s="42" t="s">
        <v>524</v>
      </c>
      <c r="AM108" s="48" t="s">
        <v>964</v>
      </c>
      <c r="AN108" s="49">
        <v>45190</v>
      </c>
      <c r="AO108" s="38"/>
      <c r="AP108" s="38"/>
      <c r="AQ108" s="38"/>
      <c r="AR108" s="38"/>
      <c r="AS108" s="38"/>
      <c r="AT108" s="51"/>
      <c r="AU108" s="52"/>
      <c r="AV108" s="53">
        <v>45291</v>
      </c>
      <c r="AW108" s="41" t="s">
        <v>56</v>
      </c>
      <c r="AX108" s="40" t="s">
        <v>758</v>
      </c>
      <c r="AY108" s="54">
        <v>20235900000673</v>
      </c>
    </row>
    <row r="109" spans="2:51" s="37" customFormat="1" ht="26.25" x14ac:dyDescent="0.25">
      <c r="B109" s="38">
        <v>108</v>
      </c>
      <c r="C109" s="39">
        <v>2023</v>
      </c>
      <c r="D109" s="40" t="s">
        <v>967</v>
      </c>
      <c r="E109" s="41" t="s">
        <v>199</v>
      </c>
      <c r="F109" s="40" t="s">
        <v>97</v>
      </c>
      <c r="G109" s="40" t="s">
        <v>98</v>
      </c>
      <c r="H109" s="41" t="s">
        <v>968</v>
      </c>
      <c r="I109" s="25" t="s">
        <v>969</v>
      </c>
      <c r="J109" s="42" t="s">
        <v>116</v>
      </c>
      <c r="K109" s="42" t="s">
        <v>970</v>
      </c>
      <c r="L109" s="26">
        <v>1015394640</v>
      </c>
      <c r="M109" s="43" t="s">
        <v>971</v>
      </c>
      <c r="N109" s="44" t="s">
        <v>972</v>
      </c>
      <c r="O109" s="45">
        <f>63750000+26350000</f>
        <v>90100000</v>
      </c>
      <c r="P109" s="44">
        <v>44971</v>
      </c>
      <c r="Q109" s="43" t="s">
        <v>973</v>
      </c>
      <c r="R109" s="46">
        <v>44972</v>
      </c>
      <c r="S109" s="45" t="s">
        <v>162</v>
      </c>
      <c r="T109" s="46">
        <v>44972</v>
      </c>
      <c r="U109" s="45">
        <v>63750000</v>
      </c>
      <c r="V109" s="43" t="s">
        <v>974</v>
      </c>
      <c r="W109" s="44" t="s">
        <v>975</v>
      </c>
      <c r="X109" s="47">
        <f>63750000+26350000</f>
        <v>90100000</v>
      </c>
      <c r="Y109" s="46">
        <v>45198</v>
      </c>
      <c r="Z109" s="48" t="s">
        <v>109</v>
      </c>
      <c r="AA109" s="49"/>
      <c r="AB109" s="48"/>
      <c r="AC109" s="26"/>
      <c r="AD109" s="48"/>
      <c r="AE109" s="49"/>
      <c r="AF109" s="49">
        <v>45188</v>
      </c>
      <c r="AG109" s="45">
        <v>26350000</v>
      </c>
      <c r="AH109" s="50">
        <f>U109+AG109</f>
        <v>90100000</v>
      </c>
      <c r="AI109" s="48" t="s">
        <v>973</v>
      </c>
      <c r="AJ109" s="49">
        <v>45196</v>
      </c>
      <c r="AK109" s="49">
        <v>45188</v>
      </c>
      <c r="AL109" s="42" t="s">
        <v>898</v>
      </c>
      <c r="AM109" s="48" t="s">
        <v>973</v>
      </c>
      <c r="AN109" s="49">
        <v>45196</v>
      </c>
      <c r="AO109" s="38"/>
      <c r="AP109" s="38"/>
      <c r="AQ109" s="38"/>
      <c r="AR109" s="38"/>
      <c r="AS109" s="38"/>
      <c r="AT109" s="51"/>
      <c r="AU109" s="52"/>
      <c r="AV109" s="53">
        <v>45291</v>
      </c>
      <c r="AW109" s="41" t="s">
        <v>56</v>
      </c>
      <c r="AX109" s="40" t="s">
        <v>195</v>
      </c>
      <c r="AY109" s="54" t="s">
        <v>121</v>
      </c>
    </row>
    <row r="110" spans="2:51" s="37" customFormat="1" ht="26.25" x14ac:dyDescent="0.25">
      <c r="B110" s="38">
        <v>109</v>
      </c>
      <c r="C110" s="39">
        <v>2023</v>
      </c>
      <c r="D110" s="40" t="s">
        <v>976</v>
      </c>
      <c r="E110" s="41" t="s">
        <v>199</v>
      </c>
      <c r="F110" s="40" t="s">
        <v>97</v>
      </c>
      <c r="G110" s="40" t="s">
        <v>98</v>
      </c>
      <c r="H110" s="41" t="s">
        <v>977</v>
      </c>
      <c r="I110" s="25" t="s">
        <v>978</v>
      </c>
      <c r="J110" s="42" t="s">
        <v>979</v>
      </c>
      <c r="K110" s="42" t="s">
        <v>980</v>
      </c>
      <c r="L110" s="26">
        <v>1014218875</v>
      </c>
      <c r="M110" s="43" t="s">
        <v>981</v>
      </c>
      <c r="N110" s="44" t="s">
        <v>982</v>
      </c>
      <c r="O110" s="45">
        <f>52830000+21601600</f>
        <v>74431600</v>
      </c>
      <c r="P110" s="44">
        <v>44972</v>
      </c>
      <c r="Q110" s="43" t="s">
        <v>983</v>
      </c>
      <c r="R110" s="46">
        <v>44972</v>
      </c>
      <c r="S110" s="45" t="s">
        <v>162</v>
      </c>
      <c r="T110" s="46">
        <v>44973</v>
      </c>
      <c r="U110" s="45">
        <v>52830000</v>
      </c>
      <c r="V110" s="43" t="s">
        <v>984</v>
      </c>
      <c r="W110" s="44" t="s">
        <v>985</v>
      </c>
      <c r="X110" s="47">
        <f>52830000+21601600</f>
        <v>74431600</v>
      </c>
      <c r="Y110" s="46">
        <v>45199</v>
      </c>
      <c r="Z110" s="48" t="s">
        <v>109</v>
      </c>
      <c r="AA110" s="49"/>
      <c r="AB110" s="48"/>
      <c r="AC110" s="26"/>
      <c r="AD110" s="48"/>
      <c r="AE110" s="49"/>
      <c r="AF110" s="49">
        <v>45189</v>
      </c>
      <c r="AG110" s="45">
        <v>21601600</v>
      </c>
      <c r="AH110" s="50">
        <f>U110+AG110</f>
        <v>74431600</v>
      </c>
      <c r="AI110" s="48" t="s">
        <v>983</v>
      </c>
      <c r="AJ110" s="49">
        <v>45194</v>
      </c>
      <c r="AK110" s="49">
        <v>45189</v>
      </c>
      <c r="AL110" s="42" t="s">
        <v>524</v>
      </c>
      <c r="AM110" s="48" t="s">
        <v>983</v>
      </c>
      <c r="AN110" s="49">
        <v>45194</v>
      </c>
      <c r="AO110" s="38"/>
      <c r="AP110" s="38"/>
      <c r="AQ110" s="38"/>
      <c r="AR110" s="38"/>
      <c r="AS110" s="38"/>
      <c r="AT110" s="51"/>
      <c r="AU110" s="52"/>
      <c r="AV110" s="53">
        <v>45291</v>
      </c>
      <c r="AW110" s="41" t="s">
        <v>56</v>
      </c>
      <c r="AX110" s="40" t="s">
        <v>652</v>
      </c>
      <c r="AY110" s="54">
        <v>20235920008843</v>
      </c>
    </row>
    <row r="111" spans="2:51" s="37" customFormat="1" ht="17.25" customHeight="1" x14ac:dyDescent="0.25">
      <c r="B111" s="38">
        <v>110</v>
      </c>
      <c r="C111" s="39">
        <v>2023</v>
      </c>
      <c r="D111" s="40" t="s">
        <v>986</v>
      </c>
      <c r="E111" s="41" t="s">
        <v>199</v>
      </c>
      <c r="F111" s="40" t="s">
        <v>97</v>
      </c>
      <c r="G111" s="40" t="s">
        <v>98</v>
      </c>
      <c r="H111" s="41" t="s">
        <v>987</v>
      </c>
      <c r="I111" s="25" t="s">
        <v>988</v>
      </c>
      <c r="J111" s="42" t="s">
        <v>989</v>
      </c>
      <c r="K111" s="42" t="s">
        <v>990</v>
      </c>
      <c r="L111" s="26">
        <v>80108389</v>
      </c>
      <c r="M111" s="43">
        <v>1007</v>
      </c>
      <c r="N111" s="44">
        <v>44970</v>
      </c>
      <c r="O111" s="45">
        <v>37500000</v>
      </c>
      <c r="P111" s="44">
        <v>44974</v>
      </c>
      <c r="Q111" s="43" t="s">
        <v>991</v>
      </c>
      <c r="R111" s="46">
        <v>44979</v>
      </c>
      <c r="S111" s="45" t="s">
        <v>119</v>
      </c>
      <c r="T111" s="46">
        <v>44980</v>
      </c>
      <c r="U111" s="45">
        <v>12500000</v>
      </c>
      <c r="V111" s="43">
        <v>989</v>
      </c>
      <c r="W111" s="44">
        <v>44978</v>
      </c>
      <c r="X111" s="47">
        <v>12500000</v>
      </c>
      <c r="Y111" s="46">
        <v>45128</v>
      </c>
      <c r="Z111" s="48" t="s">
        <v>109</v>
      </c>
      <c r="AA111" s="49" t="s">
        <v>121</v>
      </c>
      <c r="AB111" s="49" t="s">
        <v>121</v>
      </c>
      <c r="AC111" s="26" t="s">
        <v>121</v>
      </c>
      <c r="AD111" s="49" t="s">
        <v>121</v>
      </c>
      <c r="AE111" s="49" t="s">
        <v>121</v>
      </c>
      <c r="AF111" s="48" t="s">
        <v>121</v>
      </c>
      <c r="AG111" s="48" t="s">
        <v>121</v>
      </c>
      <c r="AH111" s="48" t="s">
        <v>121</v>
      </c>
      <c r="AI111" s="48" t="s">
        <v>121</v>
      </c>
      <c r="AJ111" s="48" t="s">
        <v>121</v>
      </c>
      <c r="AK111" s="48" t="s">
        <v>121</v>
      </c>
      <c r="AL111" s="42" t="s">
        <v>121</v>
      </c>
      <c r="AM111" s="48" t="s">
        <v>121</v>
      </c>
      <c r="AN111" s="48" t="s">
        <v>121</v>
      </c>
      <c r="AO111" s="49" t="s">
        <v>121</v>
      </c>
      <c r="AP111" s="49" t="s">
        <v>121</v>
      </c>
      <c r="AQ111" s="49" t="s">
        <v>121</v>
      </c>
      <c r="AR111" s="49" t="s">
        <v>121</v>
      </c>
      <c r="AS111" s="49" t="s">
        <v>121</v>
      </c>
      <c r="AT111" s="49" t="s">
        <v>121</v>
      </c>
      <c r="AU111" s="49" t="s">
        <v>121</v>
      </c>
      <c r="AV111" s="53">
        <v>45103</v>
      </c>
      <c r="AW111" s="40" t="s">
        <v>152</v>
      </c>
      <c r="AX111" s="40" t="s">
        <v>123</v>
      </c>
      <c r="AY111" s="54">
        <v>20235900000653</v>
      </c>
    </row>
    <row r="112" spans="2:51" s="37" customFormat="1" ht="26.25" x14ac:dyDescent="0.25">
      <c r="B112" s="38">
        <v>111</v>
      </c>
      <c r="C112" s="39">
        <v>2023</v>
      </c>
      <c r="D112" s="40" t="s">
        <v>992</v>
      </c>
      <c r="E112" s="41" t="s">
        <v>199</v>
      </c>
      <c r="F112" s="40" t="s">
        <v>97</v>
      </c>
      <c r="G112" s="40" t="s">
        <v>98</v>
      </c>
      <c r="H112" s="41" t="s">
        <v>993</v>
      </c>
      <c r="I112" s="25" t="s">
        <v>994</v>
      </c>
      <c r="J112" s="42" t="s">
        <v>995</v>
      </c>
      <c r="K112" s="42" t="s">
        <v>996</v>
      </c>
      <c r="L112" s="26">
        <v>1016064892</v>
      </c>
      <c r="M112" s="43" t="s">
        <v>997</v>
      </c>
      <c r="N112" s="44" t="s">
        <v>998</v>
      </c>
      <c r="O112" s="45">
        <f>67800000+12957333</f>
        <v>80757333</v>
      </c>
      <c r="P112" s="44">
        <v>44974</v>
      </c>
      <c r="Q112" s="43" t="s">
        <v>999</v>
      </c>
      <c r="R112" s="46">
        <v>44977</v>
      </c>
      <c r="S112" s="45" t="s">
        <v>162</v>
      </c>
      <c r="T112" s="46">
        <v>44977</v>
      </c>
      <c r="U112" s="45">
        <v>33900000</v>
      </c>
      <c r="V112" s="43" t="s">
        <v>1000</v>
      </c>
      <c r="W112" s="44" t="s">
        <v>1001</v>
      </c>
      <c r="X112" s="47">
        <f>33900000+12957333</f>
        <v>46857333</v>
      </c>
      <c r="Y112" s="46">
        <v>45203</v>
      </c>
      <c r="Z112" s="48" t="s">
        <v>109</v>
      </c>
      <c r="AA112" s="49">
        <v>45152</v>
      </c>
      <c r="AB112" s="48" t="s">
        <v>1002</v>
      </c>
      <c r="AC112" s="26">
        <v>55245622</v>
      </c>
      <c r="AD112" s="48" t="s">
        <v>1003</v>
      </c>
      <c r="AE112" s="49">
        <v>45161</v>
      </c>
      <c r="AF112" s="49">
        <v>45202</v>
      </c>
      <c r="AG112" s="45">
        <v>12957333</v>
      </c>
      <c r="AH112" s="50">
        <f>U112+AG112</f>
        <v>46857333</v>
      </c>
      <c r="AI112" s="43" t="s">
        <v>1003</v>
      </c>
      <c r="AJ112" s="49">
        <v>45209</v>
      </c>
      <c r="AK112" s="49">
        <v>45202</v>
      </c>
      <c r="AL112" s="42" t="s">
        <v>947</v>
      </c>
      <c r="AM112" s="43" t="s">
        <v>1003</v>
      </c>
      <c r="AN112" s="49">
        <v>45209</v>
      </c>
      <c r="AO112" s="38"/>
      <c r="AP112" s="38"/>
      <c r="AQ112" s="38"/>
      <c r="AR112" s="38"/>
      <c r="AS112" s="38"/>
      <c r="AT112" s="51"/>
      <c r="AU112" s="52"/>
      <c r="AV112" s="53">
        <v>45291</v>
      </c>
      <c r="AW112" s="41" t="s">
        <v>137</v>
      </c>
      <c r="AX112" s="40" t="s">
        <v>566</v>
      </c>
      <c r="AY112" s="54">
        <v>20235920002973</v>
      </c>
    </row>
    <row r="113" spans="2:51" s="37" customFormat="1" ht="26.25" x14ac:dyDescent="0.25">
      <c r="B113" s="38">
        <v>112</v>
      </c>
      <c r="C113" s="39">
        <v>2023</v>
      </c>
      <c r="D113" s="40" t="s">
        <v>1004</v>
      </c>
      <c r="E113" s="41" t="s">
        <v>153</v>
      </c>
      <c r="F113" s="40" t="s">
        <v>97</v>
      </c>
      <c r="G113" s="40" t="s">
        <v>98</v>
      </c>
      <c r="H113" s="41" t="s">
        <v>1005</v>
      </c>
      <c r="I113" s="25" t="s">
        <v>1006</v>
      </c>
      <c r="J113" s="42" t="s">
        <v>1007</v>
      </c>
      <c r="K113" s="42" t="s">
        <v>1008</v>
      </c>
      <c r="L113" s="26">
        <v>78759631</v>
      </c>
      <c r="M113" s="43" t="s">
        <v>1009</v>
      </c>
      <c r="N113" s="44" t="s">
        <v>944</v>
      </c>
      <c r="O113" s="45">
        <f>79500000+15016667</f>
        <v>94516667</v>
      </c>
      <c r="P113" s="44">
        <v>44974</v>
      </c>
      <c r="Q113" s="43" t="s">
        <v>1010</v>
      </c>
      <c r="R113" s="46">
        <v>44977</v>
      </c>
      <c r="S113" s="45" t="s">
        <v>144</v>
      </c>
      <c r="T113" s="46">
        <v>44978</v>
      </c>
      <c r="U113" s="45">
        <v>39750000</v>
      </c>
      <c r="V113" s="43" t="s">
        <v>1011</v>
      </c>
      <c r="W113" s="44" t="s">
        <v>1001</v>
      </c>
      <c r="X113" s="47">
        <f>39750000+15016667</f>
        <v>54766667</v>
      </c>
      <c r="Y113" s="46">
        <v>45204</v>
      </c>
      <c r="Z113" s="48" t="s">
        <v>109</v>
      </c>
      <c r="AA113" s="49"/>
      <c r="AB113" s="48"/>
      <c r="AC113" s="26"/>
      <c r="AD113" s="48"/>
      <c r="AE113" s="49"/>
      <c r="AF113" s="49">
        <v>45203</v>
      </c>
      <c r="AG113" s="45">
        <v>15016666</v>
      </c>
      <c r="AH113" s="50">
        <f>U113+AG113</f>
        <v>54766666</v>
      </c>
      <c r="AI113" s="43" t="s">
        <v>1010</v>
      </c>
      <c r="AJ113" s="49">
        <v>45205</v>
      </c>
      <c r="AK113" s="49">
        <v>45203</v>
      </c>
      <c r="AL113" s="42" t="s">
        <v>1012</v>
      </c>
      <c r="AM113" s="43" t="s">
        <v>1010</v>
      </c>
      <c r="AN113" s="49">
        <v>45205</v>
      </c>
      <c r="AO113" s="38"/>
      <c r="AP113" s="38"/>
      <c r="AQ113" s="38"/>
      <c r="AR113" s="38"/>
      <c r="AS113" s="38"/>
      <c r="AT113" s="51"/>
      <c r="AU113" s="52"/>
      <c r="AV113" s="53">
        <v>45291</v>
      </c>
      <c r="AW113" s="41" t="s">
        <v>56</v>
      </c>
      <c r="AX113" s="40" t="s">
        <v>226</v>
      </c>
      <c r="AY113" s="54">
        <v>20235920002133</v>
      </c>
    </row>
    <row r="114" spans="2:51" s="37" customFormat="1" ht="26.25" x14ac:dyDescent="0.25">
      <c r="B114" s="38">
        <v>113</v>
      </c>
      <c r="C114" s="39">
        <v>2023</v>
      </c>
      <c r="D114" s="40" t="s">
        <v>1013</v>
      </c>
      <c r="E114" s="41" t="s">
        <v>153</v>
      </c>
      <c r="F114" s="40" t="s">
        <v>97</v>
      </c>
      <c r="G114" s="40" t="s">
        <v>98</v>
      </c>
      <c r="H114" s="41" t="s">
        <v>1014</v>
      </c>
      <c r="I114" s="25" t="s">
        <v>1015</v>
      </c>
      <c r="J114" s="42" t="s">
        <v>1016</v>
      </c>
      <c r="K114" s="42" t="s">
        <v>1017</v>
      </c>
      <c r="L114" s="26">
        <v>1016074802</v>
      </c>
      <c r="M114" s="43" t="s">
        <v>1018</v>
      </c>
      <c r="N114" s="44" t="s">
        <v>944</v>
      </c>
      <c r="O114" s="45">
        <f>51000000+19266667</f>
        <v>70266667</v>
      </c>
      <c r="P114" s="44">
        <v>44977</v>
      </c>
      <c r="Q114" s="43" t="s">
        <v>1019</v>
      </c>
      <c r="R114" s="46">
        <v>44977</v>
      </c>
      <c r="S114" s="45" t="s">
        <v>162</v>
      </c>
      <c r="T114" s="46">
        <v>44978</v>
      </c>
      <c r="U114" s="45">
        <v>51000000</v>
      </c>
      <c r="V114" s="43" t="s">
        <v>1020</v>
      </c>
      <c r="W114" s="44" t="s">
        <v>1021</v>
      </c>
      <c r="X114" s="47">
        <f>51000000+19266667</f>
        <v>70266667</v>
      </c>
      <c r="Y114" s="46">
        <v>45204</v>
      </c>
      <c r="Z114" s="48" t="s">
        <v>109</v>
      </c>
      <c r="AA114" s="49"/>
      <c r="AB114" s="48"/>
      <c r="AC114" s="26"/>
      <c r="AD114" s="48"/>
      <c r="AE114" s="49"/>
      <c r="AF114" s="49">
        <v>45203</v>
      </c>
      <c r="AG114" s="45">
        <v>19266667</v>
      </c>
      <c r="AH114" s="50">
        <f>U114+AG114</f>
        <v>70266667</v>
      </c>
      <c r="AI114" s="48" t="s">
        <v>1019</v>
      </c>
      <c r="AJ114" s="49">
        <v>45244</v>
      </c>
      <c r="AK114" s="49">
        <v>45203</v>
      </c>
      <c r="AL114" s="42" t="s">
        <v>1012</v>
      </c>
      <c r="AM114" s="48" t="s">
        <v>1019</v>
      </c>
      <c r="AN114" s="49">
        <v>45244</v>
      </c>
      <c r="AO114" s="38"/>
      <c r="AP114" s="38"/>
      <c r="AQ114" s="38"/>
      <c r="AR114" s="38"/>
      <c r="AS114" s="38"/>
      <c r="AT114" s="51"/>
      <c r="AU114" s="52"/>
      <c r="AV114" s="53">
        <v>45291</v>
      </c>
      <c r="AW114" s="41" t="s">
        <v>56</v>
      </c>
      <c r="AX114" s="40" t="s">
        <v>652</v>
      </c>
      <c r="AY114" s="54">
        <v>20235920008843</v>
      </c>
    </row>
    <row r="115" spans="2:51" s="37" customFormat="1" ht="26.25" x14ac:dyDescent="0.25">
      <c r="B115" s="38">
        <v>114</v>
      </c>
      <c r="C115" s="39">
        <v>2023</v>
      </c>
      <c r="D115" s="40" t="s">
        <v>1022</v>
      </c>
      <c r="E115" s="41" t="s">
        <v>518</v>
      </c>
      <c r="F115" s="40" t="s">
        <v>97</v>
      </c>
      <c r="G115" s="40" t="s">
        <v>98</v>
      </c>
      <c r="H115" s="41" t="s">
        <v>1023</v>
      </c>
      <c r="I115" s="25" t="s">
        <v>1024</v>
      </c>
      <c r="J115" s="42" t="s">
        <v>563</v>
      </c>
      <c r="K115" s="42" t="s">
        <v>1025</v>
      </c>
      <c r="L115" s="26">
        <v>1032466334</v>
      </c>
      <c r="M115" s="43" t="s">
        <v>1026</v>
      </c>
      <c r="N115" s="44" t="s">
        <v>944</v>
      </c>
      <c r="O115" s="45">
        <f>116370000+14826400</f>
        <v>131196400</v>
      </c>
      <c r="P115" s="44">
        <v>44974</v>
      </c>
      <c r="Q115" s="43" t="s">
        <v>1027</v>
      </c>
      <c r="R115" s="46">
        <v>44977</v>
      </c>
      <c r="S115" s="45" t="s">
        <v>162</v>
      </c>
      <c r="T115" s="46">
        <v>44977</v>
      </c>
      <c r="U115" s="45">
        <v>38790000</v>
      </c>
      <c r="V115" s="43" t="s">
        <v>1028</v>
      </c>
      <c r="W115" s="44" t="s">
        <v>1029</v>
      </c>
      <c r="X115" s="47">
        <f>38790000+14826400</f>
        <v>53616400</v>
      </c>
      <c r="Y115" s="46">
        <v>45203</v>
      </c>
      <c r="Z115" s="48" t="s">
        <v>109</v>
      </c>
      <c r="AA115" s="49"/>
      <c r="AB115" s="48"/>
      <c r="AC115" s="26"/>
      <c r="AD115" s="48"/>
      <c r="AE115" s="49"/>
      <c r="AF115" s="49">
        <v>45202</v>
      </c>
      <c r="AG115" s="45">
        <v>14826400</v>
      </c>
      <c r="AH115" s="50">
        <f>U115+AG115</f>
        <v>53616400</v>
      </c>
      <c r="AI115" s="43" t="s">
        <v>1030</v>
      </c>
      <c r="AJ115" s="49">
        <v>45208</v>
      </c>
      <c r="AK115" s="49">
        <v>45202</v>
      </c>
      <c r="AL115" s="42" t="s">
        <v>947</v>
      </c>
      <c r="AM115" s="43" t="s">
        <v>1030</v>
      </c>
      <c r="AN115" s="49">
        <v>45208</v>
      </c>
      <c r="AO115" s="38"/>
      <c r="AP115" s="38"/>
      <c r="AQ115" s="38"/>
      <c r="AR115" s="38"/>
      <c r="AS115" s="38"/>
      <c r="AT115" s="51"/>
      <c r="AU115" s="52"/>
      <c r="AV115" s="53">
        <v>45291</v>
      </c>
      <c r="AW115" s="41" t="s">
        <v>56</v>
      </c>
      <c r="AX115" s="40" t="s">
        <v>566</v>
      </c>
      <c r="AY115" s="54">
        <v>20235920002973</v>
      </c>
    </row>
    <row r="116" spans="2:51" s="37" customFormat="1" ht="17.25" customHeight="1" x14ac:dyDescent="0.25">
      <c r="B116" s="38">
        <v>115</v>
      </c>
      <c r="C116" s="39">
        <v>2023</v>
      </c>
      <c r="D116" s="40" t="s">
        <v>1031</v>
      </c>
      <c r="E116" s="41" t="s">
        <v>96</v>
      </c>
      <c r="F116" s="40" t="s">
        <v>97</v>
      </c>
      <c r="G116" s="40" t="s">
        <v>98</v>
      </c>
      <c r="H116" s="41" t="s">
        <v>1032</v>
      </c>
      <c r="I116" s="25" t="s">
        <v>1033</v>
      </c>
      <c r="J116" s="42" t="s">
        <v>509</v>
      </c>
      <c r="K116" s="42" t="s">
        <v>1034</v>
      </c>
      <c r="L116" s="26">
        <v>39761852</v>
      </c>
      <c r="M116" s="43">
        <v>1030</v>
      </c>
      <c r="N116" s="44">
        <v>44973</v>
      </c>
      <c r="O116" s="45">
        <v>108000000</v>
      </c>
      <c r="P116" s="44">
        <v>44977</v>
      </c>
      <c r="Q116" s="43" t="s">
        <v>1035</v>
      </c>
      <c r="R116" s="46">
        <v>44980</v>
      </c>
      <c r="S116" s="45" t="s">
        <v>344</v>
      </c>
      <c r="T116" s="46">
        <v>44981</v>
      </c>
      <c r="U116" s="45">
        <v>10800000</v>
      </c>
      <c r="V116" s="43">
        <v>982</v>
      </c>
      <c r="W116" s="44">
        <v>44978</v>
      </c>
      <c r="X116" s="47">
        <v>10800000</v>
      </c>
      <c r="Y116" s="46">
        <v>45100</v>
      </c>
      <c r="Z116" s="48" t="s">
        <v>120</v>
      </c>
      <c r="AA116" s="49" t="s">
        <v>121</v>
      </c>
      <c r="AB116" s="49" t="s">
        <v>121</v>
      </c>
      <c r="AC116" s="26" t="s">
        <v>121</v>
      </c>
      <c r="AD116" s="49" t="s">
        <v>121</v>
      </c>
      <c r="AE116" s="49" t="s">
        <v>121</v>
      </c>
      <c r="AF116" s="48"/>
      <c r="AG116" s="45"/>
      <c r="AH116" s="50">
        <f>U116+AG116</f>
        <v>10800000</v>
      </c>
      <c r="AI116" s="50" t="s">
        <v>121</v>
      </c>
      <c r="AJ116" s="50" t="s">
        <v>121</v>
      </c>
      <c r="AK116" s="50" t="s">
        <v>121</v>
      </c>
      <c r="AL116" s="50" t="s">
        <v>121</v>
      </c>
      <c r="AM116" s="50" t="s">
        <v>121</v>
      </c>
      <c r="AN116" s="50" t="s">
        <v>121</v>
      </c>
      <c r="AO116" s="50" t="s">
        <v>121</v>
      </c>
      <c r="AP116" s="50" t="s">
        <v>121</v>
      </c>
      <c r="AQ116" s="50" t="s">
        <v>121</v>
      </c>
      <c r="AR116" s="50" t="s">
        <v>121</v>
      </c>
      <c r="AS116" s="50" t="s">
        <v>121</v>
      </c>
      <c r="AT116" s="50" t="s">
        <v>121</v>
      </c>
      <c r="AU116" s="50" t="s">
        <v>121</v>
      </c>
      <c r="AV116" s="49" t="s">
        <v>121</v>
      </c>
      <c r="AW116" s="41" t="s">
        <v>122</v>
      </c>
      <c r="AX116" s="40" t="s">
        <v>417</v>
      </c>
      <c r="AY116" s="54">
        <v>20235920002293</v>
      </c>
    </row>
    <row r="117" spans="2:51" s="37" customFormat="1" ht="17.25" customHeight="1" x14ac:dyDescent="0.25">
      <c r="B117" s="38">
        <v>116</v>
      </c>
      <c r="C117" s="39">
        <v>2023</v>
      </c>
      <c r="D117" s="40" t="s">
        <v>1036</v>
      </c>
      <c r="E117" s="41" t="s">
        <v>96</v>
      </c>
      <c r="F117" s="40" t="s">
        <v>97</v>
      </c>
      <c r="G117" s="40" t="s">
        <v>98</v>
      </c>
      <c r="H117" s="41" t="s">
        <v>1037</v>
      </c>
      <c r="I117" s="25" t="s">
        <v>1038</v>
      </c>
      <c r="J117" s="42" t="s">
        <v>509</v>
      </c>
      <c r="K117" s="42" t="s">
        <v>1039</v>
      </c>
      <c r="L117" s="26">
        <v>1030583123</v>
      </c>
      <c r="M117" s="43">
        <v>1030</v>
      </c>
      <c r="N117" s="44">
        <v>44973</v>
      </c>
      <c r="O117" s="45">
        <v>108000000</v>
      </c>
      <c r="P117" s="44">
        <v>44977</v>
      </c>
      <c r="Q117" s="43" t="s">
        <v>1040</v>
      </c>
      <c r="R117" s="46">
        <v>44979</v>
      </c>
      <c r="S117" s="45" t="s">
        <v>344</v>
      </c>
      <c r="T117" s="46">
        <v>44979</v>
      </c>
      <c r="U117" s="45">
        <v>10800000</v>
      </c>
      <c r="V117" s="43">
        <v>981</v>
      </c>
      <c r="W117" s="44">
        <v>44978</v>
      </c>
      <c r="X117" s="47">
        <v>10800000</v>
      </c>
      <c r="Y117" s="46">
        <v>45098</v>
      </c>
      <c r="Z117" s="48" t="s">
        <v>120</v>
      </c>
      <c r="AA117" s="49" t="s">
        <v>121</v>
      </c>
      <c r="AB117" s="49" t="s">
        <v>121</v>
      </c>
      <c r="AC117" s="26" t="s">
        <v>121</v>
      </c>
      <c r="AD117" s="49" t="s">
        <v>121</v>
      </c>
      <c r="AE117" s="49" t="s">
        <v>121</v>
      </c>
      <c r="AF117" s="48"/>
      <c r="AG117" s="45"/>
      <c r="AH117" s="50">
        <f>U117+AG117</f>
        <v>10800000</v>
      </c>
      <c r="AI117" s="50" t="s">
        <v>121</v>
      </c>
      <c r="AJ117" s="50" t="s">
        <v>121</v>
      </c>
      <c r="AK117" s="50" t="s">
        <v>121</v>
      </c>
      <c r="AL117" s="50" t="s">
        <v>121</v>
      </c>
      <c r="AM117" s="50" t="s">
        <v>121</v>
      </c>
      <c r="AN117" s="50" t="s">
        <v>121</v>
      </c>
      <c r="AO117" s="50" t="s">
        <v>121</v>
      </c>
      <c r="AP117" s="50" t="s">
        <v>121</v>
      </c>
      <c r="AQ117" s="50" t="s">
        <v>121</v>
      </c>
      <c r="AR117" s="50" t="s">
        <v>121</v>
      </c>
      <c r="AS117" s="50" t="s">
        <v>121</v>
      </c>
      <c r="AT117" s="50" t="s">
        <v>121</v>
      </c>
      <c r="AU117" s="50" t="s">
        <v>121</v>
      </c>
      <c r="AV117" s="49" t="s">
        <v>121</v>
      </c>
      <c r="AW117" s="41" t="s">
        <v>122</v>
      </c>
      <c r="AX117" s="40" t="s">
        <v>417</v>
      </c>
      <c r="AY117" s="54">
        <v>20235920002293</v>
      </c>
    </row>
    <row r="118" spans="2:51" s="37" customFormat="1" ht="17.25" customHeight="1" x14ac:dyDescent="0.25">
      <c r="B118" s="38">
        <v>117</v>
      </c>
      <c r="C118" s="39">
        <v>2023</v>
      </c>
      <c r="D118" s="40" t="s">
        <v>1041</v>
      </c>
      <c r="E118" s="41" t="s">
        <v>96</v>
      </c>
      <c r="F118" s="40" t="s">
        <v>97</v>
      </c>
      <c r="G118" s="40" t="s">
        <v>98</v>
      </c>
      <c r="H118" s="41" t="s">
        <v>1042</v>
      </c>
      <c r="I118" s="25" t="s">
        <v>1043</v>
      </c>
      <c r="J118" s="42" t="s">
        <v>509</v>
      </c>
      <c r="K118" s="42" t="s">
        <v>1044</v>
      </c>
      <c r="L118" s="26">
        <v>19339968</v>
      </c>
      <c r="M118" s="43">
        <v>1030</v>
      </c>
      <c r="N118" s="44">
        <v>44973</v>
      </c>
      <c r="O118" s="45">
        <v>108000000</v>
      </c>
      <c r="P118" s="44">
        <v>44977</v>
      </c>
      <c r="Q118" s="43" t="s">
        <v>1045</v>
      </c>
      <c r="R118" s="46">
        <v>44978</v>
      </c>
      <c r="S118" s="45" t="s">
        <v>344</v>
      </c>
      <c r="T118" s="46">
        <v>44979</v>
      </c>
      <c r="U118" s="45">
        <v>10800000</v>
      </c>
      <c r="V118" s="43">
        <v>983</v>
      </c>
      <c r="W118" s="44">
        <v>44978</v>
      </c>
      <c r="X118" s="47">
        <v>10800000</v>
      </c>
      <c r="Y118" s="46">
        <v>45098</v>
      </c>
      <c r="Z118" s="48" t="s">
        <v>120</v>
      </c>
      <c r="AA118" s="49" t="s">
        <v>121</v>
      </c>
      <c r="AB118" s="49" t="s">
        <v>121</v>
      </c>
      <c r="AC118" s="26" t="s">
        <v>121</v>
      </c>
      <c r="AD118" s="49" t="s">
        <v>121</v>
      </c>
      <c r="AE118" s="49" t="s">
        <v>121</v>
      </c>
      <c r="AF118" s="48"/>
      <c r="AG118" s="45"/>
      <c r="AH118" s="50">
        <f>U118+AG118</f>
        <v>10800000</v>
      </c>
      <c r="AI118" s="50" t="s">
        <v>121</v>
      </c>
      <c r="AJ118" s="50" t="s">
        <v>121</v>
      </c>
      <c r="AK118" s="50" t="s">
        <v>121</v>
      </c>
      <c r="AL118" s="50" t="s">
        <v>121</v>
      </c>
      <c r="AM118" s="50" t="s">
        <v>121</v>
      </c>
      <c r="AN118" s="50" t="s">
        <v>121</v>
      </c>
      <c r="AO118" s="50" t="s">
        <v>121</v>
      </c>
      <c r="AP118" s="50" t="s">
        <v>121</v>
      </c>
      <c r="AQ118" s="50" t="s">
        <v>121</v>
      </c>
      <c r="AR118" s="50" t="s">
        <v>121</v>
      </c>
      <c r="AS118" s="50" t="s">
        <v>121</v>
      </c>
      <c r="AT118" s="50" t="s">
        <v>121</v>
      </c>
      <c r="AU118" s="50" t="s">
        <v>121</v>
      </c>
      <c r="AV118" s="49" t="s">
        <v>121</v>
      </c>
      <c r="AW118" s="41" t="s">
        <v>122</v>
      </c>
      <c r="AX118" s="40" t="s">
        <v>417</v>
      </c>
      <c r="AY118" s="54">
        <v>20235920002293</v>
      </c>
    </row>
    <row r="119" spans="2:51" s="37" customFormat="1" ht="17.25" customHeight="1" x14ac:dyDescent="0.25">
      <c r="B119" s="38">
        <v>118</v>
      </c>
      <c r="C119" s="39">
        <v>2023</v>
      </c>
      <c r="D119" s="40" t="s">
        <v>1046</v>
      </c>
      <c r="E119" s="41" t="s">
        <v>96</v>
      </c>
      <c r="F119" s="40" t="s">
        <v>97</v>
      </c>
      <c r="G119" s="40" t="s">
        <v>98</v>
      </c>
      <c r="H119" s="41" t="s">
        <v>1047</v>
      </c>
      <c r="I119" s="25" t="s">
        <v>1048</v>
      </c>
      <c r="J119" s="42" t="s">
        <v>509</v>
      </c>
      <c r="K119" s="42" t="s">
        <v>1049</v>
      </c>
      <c r="L119" s="26">
        <v>1023920457</v>
      </c>
      <c r="M119" s="43">
        <v>1030</v>
      </c>
      <c r="N119" s="44">
        <v>44973</v>
      </c>
      <c r="O119" s="45">
        <v>108000000</v>
      </c>
      <c r="P119" s="44">
        <v>44977</v>
      </c>
      <c r="Q119" s="43" t="s">
        <v>1050</v>
      </c>
      <c r="R119" s="46">
        <v>44980</v>
      </c>
      <c r="S119" s="45" t="s">
        <v>344</v>
      </c>
      <c r="T119" s="46">
        <v>44980</v>
      </c>
      <c r="U119" s="45">
        <v>10800000</v>
      </c>
      <c r="V119" s="43">
        <v>980</v>
      </c>
      <c r="W119" s="44">
        <v>44978</v>
      </c>
      <c r="X119" s="47">
        <v>10800000</v>
      </c>
      <c r="Y119" s="46">
        <v>45099</v>
      </c>
      <c r="Z119" s="48" t="s">
        <v>120</v>
      </c>
      <c r="AA119" s="49" t="s">
        <v>121</v>
      </c>
      <c r="AB119" s="49" t="s">
        <v>121</v>
      </c>
      <c r="AC119" s="26" t="s">
        <v>121</v>
      </c>
      <c r="AD119" s="49" t="s">
        <v>121</v>
      </c>
      <c r="AE119" s="49" t="s">
        <v>121</v>
      </c>
      <c r="AF119" s="48"/>
      <c r="AG119" s="45"/>
      <c r="AH119" s="50">
        <f>U119+AG119</f>
        <v>10800000</v>
      </c>
      <c r="AI119" s="50" t="s">
        <v>121</v>
      </c>
      <c r="AJ119" s="50" t="s">
        <v>121</v>
      </c>
      <c r="AK119" s="50" t="s">
        <v>121</v>
      </c>
      <c r="AL119" s="50" t="s">
        <v>121</v>
      </c>
      <c r="AM119" s="50" t="s">
        <v>121</v>
      </c>
      <c r="AN119" s="50" t="s">
        <v>121</v>
      </c>
      <c r="AO119" s="50" t="s">
        <v>121</v>
      </c>
      <c r="AP119" s="50" t="s">
        <v>121</v>
      </c>
      <c r="AQ119" s="50" t="s">
        <v>121</v>
      </c>
      <c r="AR119" s="50" t="s">
        <v>121</v>
      </c>
      <c r="AS119" s="50" t="s">
        <v>121</v>
      </c>
      <c r="AT119" s="50" t="s">
        <v>121</v>
      </c>
      <c r="AU119" s="50" t="s">
        <v>121</v>
      </c>
      <c r="AV119" s="49" t="s">
        <v>121</v>
      </c>
      <c r="AW119" s="41" t="s">
        <v>122</v>
      </c>
      <c r="AX119" s="40" t="s">
        <v>417</v>
      </c>
      <c r="AY119" s="54">
        <v>20235920002293</v>
      </c>
    </row>
    <row r="120" spans="2:51" s="37" customFormat="1" ht="17.25" customHeight="1" x14ac:dyDescent="0.25">
      <c r="B120" s="38">
        <v>119</v>
      </c>
      <c r="C120" s="39">
        <v>2023</v>
      </c>
      <c r="D120" s="40" t="s">
        <v>1051</v>
      </c>
      <c r="E120" s="41" t="s">
        <v>96</v>
      </c>
      <c r="F120" s="40" t="s">
        <v>97</v>
      </c>
      <c r="G120" s="40" t="s">
        <v>98</v>
      </c>
      <c r="H120" s="41" t="s">
        <v>1052</v>
      </c>
      <c r="I120" s="25" t="s">
        <v>1053</v>
      </c>
      <c r="J120" s="42" t="s">
        <v>509</v>
      </c>
      <c r="K120" s="42" t="s">
        <v>1054</v>
      </c>
      <c r="L120" s="26">
        <v>52536354</v>
      </c>
      <c r="M120" s="43">
        <v>1030</v>
      </c>
      <c r="N120" s="44">
        <v>44973</v>
      </c>
      <c r="O120" s="45">
        <v>108000000</v>
      </c>
      <c r="P120" s="44">
        <v>44977</v>
      </c>
      <c r="Q120" s="43" t="s">
        <v>1055</v>
      </c>
      <c r="R120" s="46">
        <v>44979</v>
      </c>
      <c r="S120" s="45" t="s">
        <v>344</v>
      </c>
      <c r="T120" s="46">
        <v>44980</v>
      </c>
      <c r="U120" s="45">
        <v>10800000</v>
      </c>
      <c r="V120" s="43">
        <v>984</v>
      </c>
      <c r="W120" s="44">
        <v>44978</v>
      </c>
      <c r="X120" s="47">
        <v>10800000</v>
      </c>
      <c r="Y120" s="46">
        <v>45099</v>
      </c>
      <c r="Z120" s="48" t="s">
        <v>120</v>
      </c>
      <c r="AA120" s="49" t="s">
        <v>121</v>
      </c>
      <c r="AB120" s="49" t="s">
        <v>121</v>
      </c>
      <c r="AC120" s="26" t="s">
        <v>121</v>
      </c>
      <c r="AD120" s="49" t="s">
        <v>121</v>
      </c>
      <c r="AE120" s="49" t="s">
        <v>121</v>
      </c>
      <c r="AF120" s="48"/>
      <c r="AG120" s="45"/>
      <c r="AH120" s="50">
        <f>U120+AG120</f>
        <v>10800000</v>
      </c>
      <c r="AI120" s="50" t="s">
        <v>121</v>
      </c>
      <c r="AJ120" s="50" t="s">
        <v>121</v>
      </c>
      <c r="AK120" s="50" t="s">
        <v>121</v>
      </c>
      <c r="AL120" s="50" t="s">
        <v>121</v>
      </c>
      <c r="AM120" s="50" t="s">
        <v>121</v>
      </c>
      <c r="AN120" s="50" t="s">
        <v>121</v>
      </c>
      <c r="AO120" s="50" t="s">
        <v>121</v>
      </c>
      <c r="AP120" s="50" t="s">
        <v>121</v>
      </c>
      <c r="AQ120" s="50" t="s">
        <v>121</v>
      </c>
      <c r="AR120" s="50" t="s">
        <v>121</v>
      </c>
      <c r="AS120" s="50" t="s">
        <v>121</v>
      </c>
      <c r="AT120" s="50" t="s">
        <v>121</v>
      </c>
      <c r="AU120" s="50" t="s">
        <v>121</v>
      </c>
      <c r="AV120" s="49" t="s">
        <v>121</v>
      </c>
      <c r="AW120" s="41" t="s">
        <v>122</v>
      </c>
      <c r="AX120" s="40" t="s">
        <v>417</v>
      </c>
      <c r="AY120" s="54">
        <v>20235920002293</v>
      </c>
    </row>
    <row r="121" spans="2:51" s="37" customFormat="1" ht="17.25" customHeight="1" x14ac:dyDescent="0.25">
      <c r="B121" s="38">
        <v>120</v>
      </c>
      <c r="C121" s="39">
        <v>2023</v>
      </c>
      <c r="D121" s="40" t="s">
        <v>1056</v>
      </c>
      <c r="E121" s="41" t="s">
        <v>96</v>
      </c>
      <c r="F121" s="40" t="s">
        <v>97</v>
      </c>
      <c r="G121" s="40" t="s">
        <v>98</v>
      </c>
      <c r="H121" s="41" t="s">
        <v>1057</v>
      </c>
      <c r="I121" s="25" t="s">
        <v>1058</v>
      </c>
      <c r="J121" s="42" t="s">
        <v>1059</v>
      </c>
      <c r="K121" s="42" t="s">
        <v>1060</v>
      </c>
      <c r="L121" s="26">
        <v>53925244</v>
      </c>
      <c r="M121" s="43" t="s">
        <v>1061</v>
      </c>
      <c r="N121" s="44" t="s">
        <v>1062</v>
      </c>
      <c r="O121" s="45">
        <f>33900000+12656000</f>
        <v>46556000</v>
      </c>
      <c r="P121" s="44">
        <v>44974</v>
      </c>
      <c r="Q121" s="43" t="s">
        <v>1063</v>
      </c>
      <c r="R121" s="46">
        <v>44978</v>
      </c>
      <c r="S121" s="45" t="s">
        <v>144</v>
      </c>
      <c r="T121" s="46">
        <v>44979</v>
      </c>
      <c r="U121" s="45">
        <v>33900000</v>
      </c>
      <c r="V121" s="43" t="s">
        <v>1064</v>
      </c>
      <c r="W121" s="44" t="s">
        <v>1065</v>
      </c>
      <c r="X121" s="47">
        <f>33900000+12656000</f>
        <v>46556000</v>
      </c>
      <c r="Y121" s="46">
        <v>45205</v>
      </c>
      <c r="Z121" s="48" t="s">
        <v>109</v>
      </c>
      <c r="AA121" s="49"/>
      <c r="AB121" s="48"/>
      <c r="AC121" s="26"/>
      <c r="AD121" s="43"/>
      <c r="AE121" s="49"/>
      <c r="AF121" s="49">
        <v>45205</v>
      </c>
      <c r="AG121" s="45">
        <v>12656000</v>
      </c>
      <c r="AH121" s="50">
        <f>U121+AG121</f>
        <v>46556000</v>
      </c>
      <c r="AI121" s="43" t="s">
        <v>1063</v>
      </c>
      <c r="AJ121" s="49">
        <v>45209</v>
      </c>
      <c r="AK121" s="49">
        <v>45205</v>
      </c>
      <c r="AL121" s="42" t="s">
        <v>1066</v>
      </c>
      <c r="AM121" s="43" t="s">
        <v>1063</v>
      </c>
      <c r="AN121" s="49">
        <v>45209</v>
      </c>
      <c r="AO121" s="38"/>
      <c r="AP121" s="38"/>
      <c r="AQ121" s="38"/>
      <c r="AR121" s="38"/>
      <c r="AS121" s="38"/>
      <c r="AT121" s="51"/>
      <c r="AU121" s="52"/>
      <c r="AV121" s="53">
        <v>45290</v>
      </c>
      <c r="AW121" s="41" t="s">
        <v>56</v>
      </c>
      <c r="AX121" s="40" t="s">
        <v>271</v>
      </c>
      <c r="AY121" s="54">
        <v>20235920002303</v>
      </c>
    </row>
    <row r="122" spans="2:51" s="37" customFormat="1" ht="17.25" customHeight="1" x14ac:dyDescent="0.25">
      <c r="B122" s="38">
        <v>121</v>
      </c>
      <c r="C122" s="39">
        <v>2023</v>
      </c>
      <c r="D122" s="40" t="s">
        <v>1067</v>
      </c>
      <c r="E122" s="41" t="s">
        <v>128</v>
      </c>
      <c r="F122" s="40" t="s">
        <v>97</v>
      </c>
      <c r="G122" s="40" t="s">
        <v>98</v>
      </c>
      <c r="H122" s="41" t="s">
        <v>1068</v>
      </c>
      <c r="I122" s="25" t="s">
        <v>1069</v>
      </c>
      <c r="J122" s="42" t="s">
        <v>1070</v>
      </c>
      <c r="K122" s="42" t="s">
        <v>337</v>
      </c>
      <c r="L122" s="26">
        <v>1015999108</v>
      </c>
      <c r="M122" s="43" t="s">
        <v>1071</v>
      </c>
      <c r="N122" s="44" t="s">
        <v>1072</v>
      </c>
      <c r="O122" s="45">
        <f>52830000+20192800</f>
        <v>73022800</v>
      </c>
      <c r="P122" s="44">
        <v>44974</v>
      </c>
      <c r="Q122" s="43" t="s">
        <v>1073</v>
      </c>
      <c r="R122" s="46">
        <v>44977</v>
      </c>
      <c r="S122" s="45" t="s">
        <v>162</v>
      </c>
      <c r="T122" s="46">
        <v>44977</v>
      </c>
      <c r="U122" s="45">
        <v>52830000</v>
      </c>
      <c r="V122" s="43" t="s">
        <v>1074</v>
      </c>
      <c r="W122" s="44" t="s">
        <v>1029</v>
      </c>
      <c r="X122" s="47">
        <f>52830000+20192800</f>
        <v>73022800</v>
      </c>
      <c r="Y122" s="46">
        <v>45203</v>
      </c>
      <c r="Z122" s="48" t="s">
        <v>109</v>
      </c>
      <c r="AA122" s="49"/>
      <c r="AB122" s="48"/>
      <c r="AC122" s="26"/>
      <c r="AD122" s="43"/>
      <c r="AE122" s="49"/>
      <c r="AF122" s="49">
        <v>45202</v>
      </c>
      <c r="AG122" s="45">
        <v>20192800</v>
      </c>
      <c r="AH122" s="50">
        <f>U122+AG122</f>
        <v>73022800</v>
      </c>
      <c r="AI122" s="43" t="s">
        <v>1073</v>
      </c>
      <c r="AJ122" s="49">
        <v>45205</v>
      </c>
      <c r="AK122" s="49">
        <v>45202</v>
      </c>
      <c r="AL122" s="42" t="s">
        <v>947</v>
      </c>
      <c r="AM122" s="43" t="s">
        <v>1073</v>
      </c>
      <c r="AN122" s="49">
        <v>45205</v>
      </c>
      <c r="AO122" s="38"/>
      <c r="AP122" s="38"/>
      <c r="AQ122" s="38"/>
      <c r="AR122" s="38"/>
      <c r="AS122" s="38"/>
      <c r="AT122" s="51"/>
      <c r="AU122" s="52"/>
      <c r="AV122" s="53">
        <v>45291</v>
      </c>
      <c r="AW122" s="41" t="s">
        <v>56</v>
      </c>
      <c r="AX122" s="40" t="s">
        <v>430</v>
      </c>
      <c r="AY122" s="54">
        <v>20235920008813</v>
      </c>
    </row>
    <row r="123" spans="2:51" s="37" customFormat="1" ht="17.25" customHeight="1" x14ac:dyDescent="0.25">
      <c r="B123" s="38">
        <v>122</v>
      </c>
      <c r="C123" s="39">
        <v>2023</v>
      </c>
      <c r="D123" s="40" t="s">
        <v>1075</v>
      </c>
      <c r="E123" s="41" t="s">
        <v>128</v>
      </c>
      <c r="F123" s="40" t="s">
        <v>97</v>
      </c>
      <c r="G123" s="40" t="s">
        <v>98</v>
      </c>
      <c r="H123" s="41" t="s">
        <v>1076</v>
      </c>
      <c r="I123" s="25" t="s">
        <v>1077</v>
      </c>
      <c r="J123" s="42" t="s">
        <v>214</v>
      </c>
      <c r="K123" s="42" t="s">
        <v>1078</v>
      </c>
      <c r="L123" s="26">
        <v>1022377333</v>
      </c>
      <c r="M123" s="43" t="s">
        <v>1079</v>
      </c>
      <c r="N123" s="44" t="s">
        <v>944</v>
      </c>
      <c r="O123" s="45">
        <f>79500000+15193333</f>
        <v>94693333</v>
      </c>
      <c r="P123" s="44">
        <v>44974</v>
      </c>
      <c r="Q123" s="43" t="s">
        <v>1080</v>
      </c>
      <c r="R123" s="46">
        <v>44977</v>
      </c>
      <c r="S123" s="45" t="s">
        <v>162</v>
      </c>
      <c r="T123" s="46">
        <v>44977</v>
      </c>
      <c r="U123" s="45">
        <v>38750000</v>
      </c>
      <c r="V123" s="43" t="s">
        <v>1081</v>
      </c>
      <c r="W123" s="44" t="s">
        <v>1029</v>
      </c>
      <c r="X123" s="47">
        <f>39750000+15193333</f>
        <v>54943333</v>
      </c>
      <c r="Y123" s="46">
        <v>45203</v>
      </c>
      <c r="Z123" s="48" t="s">
        <v>109</v>
      </c>
      <c r="AA123" s="49"/>
      <c r="AB123" s="48"/>
      <c r="AC123" s="26"/>
      <c r="AD123" s="43"/>
      <c r="AE123" s="49"/>
      <c r="AF123" s="49">
        <v>45202</v>
      </c>
      <c r="AG123" s="45">
        <v>15193333</v>
      </c>
      <c r="AH123" s="50">
        <f>U123+AG123</f>
        <v>53943333</v>
      </c>
      <c r="AI123" s="43" t="s">
        <v>1080</v>
      </c>
      <c r="AJ123" s="49">
        <v>45203</v>
      </c>
      <c r="AK123" s="49">
        <v>45202</v>
      </c>
      <c r="AL123" s="42" t="s">
        <v>947</v>
      </c>
      <c r="AM123" s="43" t="s">
        <v>1080</v>
      </c>
      <c r="AN123" s="49">
        <v>45203</v>
      </c>
      <c r="AO123" s="38"/>
      <c r="AP123" s="38"/>
      <c r="AQ123" s="38"/>
      <c r="AR123" s="38"/>
      <c r="AS123" s="38"/>
      <c r="AT123" s="51"/>
      <c r="AU123" s="52"/>
      <c r="AV123" s="53">
        <v>45291</v>
      </c>
      <c r="AW123" s="41" t="s">
        <v>56</v>
      </c>
      <c r="AX123" s="40" t="s">
        <v>226</v>
      </c>
      <c r="AY123" s="54">
        <v>20235920002143</v>
      </c>
    </row>
    <row r="124" spans="2:51" s="37" customFormat="1" ht="17.25" customHeight="1" x14ac:dyDescent="0.25">
      <c r="B124" s="38">
        <v>123</v>
      </c>
      <c r="C124" s="39">
        <v>2023</v>
      </c>
      <c r="D124" s="40" t="s">
        <v>1082</v>
      </c>
      <c r="E124" s="41" t="s">
        <v>518</v>
      </c>
      <c r="F124" s="40" t="s">
        <v>97</v>
      </c>
      <c r="G124" s="40" t="s">
        <v>98</v>
      </c>
      <c r="H124" s="41" t="s">
        <v>1083</v>
      </c>
      <c r="I124" s="25" t="s">
        <v>1084</v>
      </c>
      <c r="J124" s="42" t="s">
        <v>563</v>
      </c>
      <c r="K124" s="42" t="s">
        <v>1085</v>
      </c>
      <c r="L124" s="26">
        <v>79132395</v>
      </c>
      <c r="M124" s="43" t="s">
        <v>1086</v>
      </c>
      <c r="N124" s="44" t="s">
        <v>944</v>
      </c>
      <c r="O124" s="45">
        <f>116370000+14654000</f>
        <v>131024000</v>
      </c>
      <c r="P124" s="44">
        <v>44974</v>
      </c>
      <c r="Q124" s="43" t="s">
        <v>1087</v>
      </c>
      <c r="R124" s="46">
        <v>44978</v>
      </c>
      <c r="S124" s="45" t="s">
        <v>162</v>
      </c>
      <c r="T124" s="46">
        <v>44978</v>
      </c>
      <c r="U124" s="45">
        <v>38790000</v>
      </c>
      <c r="V124" s="43" t="s">
        <v>1088</v>
      </c>
      <c r="W124" s="44" t="s">
        <v>1089</v>
      </c>
      <c r="X124" s="47">
        <f>38790000+14654000</f>
        <v>53444000</v>
      </c>
      <c r="Y124" s="46">
        <v>45204</v>
      </c>
      <c r="Z124" s="48" t="s">
        <v>109</v>
      </c>
      <c r="AA124" s="49"/>
      <c r="AB124" s="48"/>
      <c r="AC124" s="26"/>
      <c r="AD124" s="43"/>
      <c r="AE124" s="49"/>
      <c r="AF124" s="49">
        <v>45204</v>
      </c>
      <c r="AG124" s="45">
        <v>14654000</v>
      </c>
      <c r="AH124" s="50">
        <f>U124+AG124</f>
        <v>53444000</v>
      </c>
      <c r="AI124" s="43" t="s">
        <v>1087</v>
      </c>
      <c r="AJ124" s="49">
        <v>45223</v>
      </c>
      <c r="AK124" s="49">
        <v>45204</v>
      </c>
      <c r="AL124" s="42" t="s">
        <v>1012</v>
      </c>
      <c r="AM124" s="43" t="s">
        <v>1087</v>
      </c>
      <c r="AN124" s="49">
        <v>45223</v>
      </c>
      <c r="AO124" s="38"/>
      <c r="AP124" s="38"/>
      <c r="AQ124" s="38"/>
      <c r="AR124" s="38"/>
      <c r="AS124" s="38"/>
      <c r="AT124" s="51"/>
      <c r="AU124" s="52"/>
      <c r="AV124" s="53">
        <v>45291</v>
      </c>
      <c r="AW124" s="41" t="s">
        <v>56</v>
      </c>
      <c r="AX124" s="40" t="s">
        <v>566</v>
      </c>
      <c r="AY124" s="54">
        <v>20235920002973</v>
      </c>
    </row>
    <row r="125" spans="2:51" s="37" customFormat="1" ht="17.25" customHeight="1" x14ac:dyDescent="0.25">
      <c r="B125" s="38">
        <v>124</v>
      </c>
      <c r="C125" s="39">
        <v>2023</v>
      </c>
      <c r="D125" s="40" t="s">
        <v>1090</v>
      </c>
      <c r="E125" s="41" t="s">
        <v>518</v>
      </c>
      <c r="F125" s="40" t="s">
        <v>97</v>
      </c>
      <c r="G125" s="40" t="s">
        <v>98</v>
      </c>
      <c r="H125" s="41" t="s">
        <v>1091</v>
      </c>
      <c r="I125" s="25" t="s">
        <v>1092</v>
      </c>
      <c r="J125" s="42" t="s">
        <v>1093</v>
      </c>
      <c r="K125" s="42" t="s">
        <v>1094</v>
      </c>
      <c r="L125" s="26">
        <v>1016069748</v>
      </c>
      <c r="M125" s="43" t="s">
        <v>1095</v>
      </c>
      <c r="N125" s="44" t="s">
        <v>1096</v>
      </c>
      <c r="O125" s="45">
        <f>33900000+12354667</f>
        <v>46254667</v>
      </c>
      <c r="P125" s="44">
        <v>44979</v>
      </c>
      <c r="Q125" s="43" t="s">
        <v>1097</v>
      </c>
      <c r="R125" s="46">
        <v>44981</v>
      </c>
      <c r="S125" s="45" t="s">
        <v>162</v>
      </c>
      <c r="T125" s="46">
        <v>44981</v>
      </c>
      <c r="U125" s="45">
        <v>33900000</v>
      </c>
      <c r="V125" s="43" t="s">
        <v>1098</v>
      </c>
      <c r="W125" s="44" t="s">
        <v>907</v>
      </c>
      <c r="X125" s="47">
        <f>33900000+12354667</f>
        <v>46254667</v>
      </c>
      <c r="Y125" s="46">
        <v>45207</v>
      </c>
      <c r="Z125" s="48" t="s">
        <v>109</v>
      </c>
      <c r="AA125" s="49"/>
      <c r="AB125" s="48"/>
      <c r="AC125" s="26"/>
      <c r="AD125" s="43"/>
      <c r="AE125" s="49"/>
      <c r="AF125" s="49">
        <v>45205</v>
      </c>
      <c r="AG125" s="45">
        <v>12354667</v>
      </c>
      <c r="AH125" s="50">
        <f>U125+AG125</f>
        <v>46254667</v>
      </c>
      <c r="AI125" s="48" t="s">
        <v>708</v>
      </c>
      <c r="AJ125" s="48" t="s">
        <v>708</v>
      </c>
      <c r="AK125" s="49">
        <v>45205</v>
      </c>
      <c r="AL125" s="42" t="s">
        <v>908</v>
      </c>
      <c r="AM125" s="48" t="s">
        <v>708</v>
      </c>
      <c r="AN125" s="48" t="s">
        <v>708</v>
      </c>
      <c r="AO125" s="38"/>
      <c r="AP125" s="38"/>
      <c r="AQ125" s="38"/>
      <c r="AR125" s="38"/>
      <c r="AS125" s="38"/>
      <c r="AT125" s="51"/>
      <c r="AU125" s="52"/>
      <c r="AV125" s="53">
        <v>45291</v>
      </c>
      <c r="AW125" s="41" t="s">
        <v>56</v>
      </c>
      <c r="AX125" s="40" t="s">
        <v>195</v>
      </c>
      <c r="AY125" s="54" t="s">
        <v>121</v>
      </c>
    </row>
    <row r="126" spans="2:51" s="37" customFormat="1" ht="17.25" customHeight="1" x14ac:dyDescent="0.25">
      <c r="B126" s="38">
        <v>125</v>
      </c>
      <c r="C126" s="39">
        <v>2023</v>
      </c>
      <c r="D126" s="40" t="s">
        <v>1099</v>
      </c>
      <c r="E126" s="41" t="s">
        <v>324</v>
      </c>
      <c r="F126" s="40" t="s">
        <v>97</v>
      </c>
      <c r="G126" s="40" t="s">
        <v>98</v>
      </c>
      <c r="H126" s="41" t="s">
        <v>1100</v>
      </c>
      <c r="I126" s="25" t="s">
        <v>1101</v>
      </c>
      <c r="J126" s="42" t="s">
        <v>802</v>
      </c>
      <c r="K126" s="42" t="s">
        <v>1102</v>
      </c>
      <c r="L126" s="26">
        <v>52228440</v>
      </c>
      <c r="M126" s="43" t="s">
        <v>1103</v>
      </c>
      <c r="N126" s="44" t="s">
        <v>904</v>
      </c>
      <c r="O126" s="45">
        <f>405000000+17000000</f>
        <v>422000000</v>
      </c>
      <c r="P126" s="44">
        <v>44974</v>
      </c>
      <c r="Q126" s="43" t="s">
        <v>1104</v>
      </c>
      <c r="R126" s="46">
        <v>44977</v>
      </c>
      <c r="S126" s="45" t="s">
        <v>144</v>
      </c>
      <c r="T126" s="46">
        <v>44978</v>
      </c>
      <c r="U126" s="45">
        <v>45000000</v>
      </c>
      <c r="V126" s="43" t="s">
        <v>1105</v>
      </c>
      <c r="W126" s="44" t="s">
        <v>1001</v>
      </c>
      <c r="X126" s="47">
        <f>45000000+17000000</f>
        <v>62000000</v>
      </c>
      <c r="Y126" s="46">
        <v>45204</v>
      </c>
      <c r="Z126" s="48" t="s">
        <v>109</v>
      </c>
      <c r="AA126" s="49"/>
      <c r="AB126" s="48"/>
      <c r="AC126" s="26"/>
      <c r="AD126" s="43"/>
      <c r="AE126" s="49"/>
      <c r="AF126" s="49">
        <v>45203</v>
      </c>
      <c r="AG126" s="45">
        <v>17000000</v>
      </c>
      <c r="AH126" s="50">
        <f>U126+AG126</f>
        <v>62000000</v>
      </c>
      <c r="AI126" s="43" t="s">
        <v>1104</v>
      </c>
      <c r="AJ126" s="49">
        <v>45204</v>
      </c>
      <c r="AK126" s="49">
        <v>45203</v>
      </c>
      <c r="AL126" s="42" t="s">
        <v>1012</v>
      </c>
      <c r="AM126" s="43" t="s">
        <v>1104</v>
      </c>
      <c r="AN126" s="49">
        <v>45204</v>
      </c>
      <c r="AO126" s="38"/>
      <c r="AP126" s="38"/>
      <c r="AQ126" s="38"/>
      <c r="AR126" s="38"/>
      <c r="AS126" s="38"/>
      <c r="AT126" s="51"/>
      <c r="AU126" s="52"/>
      <c r="AV126" s="53">
        <v>45291</v>
      </c>
      <c r="AW126" s="41" t="s">
        <v>56</v>
      </c>
      <c r="AX126" s="40" t="s">
        <v>145</v>
      </c>
      <c r="AY126" s="54">
        <v>20235920001843</v>
      </c>
    </row>
    <row r="127" spans="2:51" s="37" customFormat="1" ht="17.25" customHeight="1" x14ac:dyDescent="0.25">
      <c r="B127" s="38">
        <v>126</v>
      </c>
      <c r="C127" s="39">
        <v>2023</v>
      </c>
      <c r="D127" s="40" t="s">
        <v>1106</v>
      </c>
      <c r="E127" s="41" t="s">
        <v>155</v>
      </c>
      <c r="F127" s="40" t="s">
        <v>97</v>
      </c>
      <c r="G127" s="40" t="s">
        <v>98</v>
      </c>
      <c r="H127" s="41" t="s">
        <v>1107</v>
      </c>
      <c r="I127" s="25" t="s">
        <v>1108</v>
      </c>
      <c r="J127" s="42" t="s">
        <v>1109</v>
      </c>
      <c r="K127" s="42" t="s">
        <v>552</v>
      </c>
      <c r="L127" s="26">
        <v>1030623702</v>
      </c>
      <c r="M127" s="43" t="s">
        <v>1110</v>
      </c>
      <c r="N127" s="44" t="s">
        <v>944</v>
      </c>
      <c r="O127" s="45">
        <f>52830000+19723200</f>
        <v>72553200</v>
      </c>
      <c r="P127" s="44">
        <v>44978</v>
      </c>
      <c r="Q127" s="43" t="s">
        <v>1111</v>
      </c>
      <c r="R127" s="46">
        <v>44978</v>
      </c>
      <c r="S127" s="45" t="s">
        <v>162</v>
      </c>
      <c r="T127" s="46">
        <v>44978</v>
      </c>
      <c r="U127" s="45">
        <v>52830000</v>
      </c>
      <c r="V127" s="43" t="s">
        <v>1112</v>
      </c>
      <c r="W127" s="44" t="s">
        <v>1113</v>
      </c>
      <c r="X127" s="47">
        <f>52830000+19723200</f>
        <v>72553200</v>
      </c>
      <c r="Y127" s="46">
        <v>45205</v>
      </c>
      <c r="Z127" s="48" t="s">
        <v>109</v>
      </c>
      <c r="AA127" s="49"/>
      <c r="AB127" s="48"/>
      <c r="AC127" s="26"/>
      <c r="AD127" s="43"/>
      <c r="AE127" s="49"/>
      <c r="AF127" s="49">
        <v>45205</v>
      </c>
      <c r="AG127" s="45">
        <v>19723200</v>
      </c>
      <c r="AH127" s="50">
        <f>U127+AG127</f>
        <v>72553200</v>
      </c>
      <c r="AI127" s="43" t="s">
        <v>1111</v>
      </c>
      <c r="AJ127" s="49">
        <v>45218</v>
      </c>
      <c r="AK127" s="49">
        <v>45205</v>
      </c>
      <c r="AL127" s="42" t="s">
        <v>1066</v>
      </c>
      <c r="AM127" s="43" t="s">
        <v>1111</v>
      </c>
      <c r="AN127" s="49">
        <v>45218</v>
      </c>
      <c r="AO127" s="38"/>
      <c r="AP127" s="38"/>
      <c r="AQ127" s="38"/>
      <c r="AR127" s="38"/>
      <c r="AS127" s="38"/>
      <c r="AT127" s="51"/>
      <c r="AU127" s="52"/>
      <c r="AV127" s="53">
        <v>45289</v>
      </c>
      <c r="AW127" s="41" t="s">
        <v>56</v>
      </c>
      <c r="AX127" s="40" t="s">
        <v>430</v>
      </c>
      <c r="AY127" s="54">
        <v>20235920008813</v>
      </c>
    </row>
    <row r="128" spans="2:51" s="37" customFormat="1" ht="17.25" customHeight="1" x14ac:dyDescent="0.25">
      <c r="B128" s="38">
        <v>127</v>
      </c>
      <c r="C128" s="39">
        <v>2023</v>
      </c>
      <c r="D128" s="40" t="s">
        <v>1114</v>
      </c>
      <c r="E128" s="41" t="s">
        <v>153</v>
      </c>
      <c r="F128" s="40" t="s">
        <v>97</v>
      </c>
      <c r="G128" s="40" t="s">
        <v>98</v>
      </c>
      <c r="H128" s="41" t="s">
        <v>1115</v>
      </c>
      <c r="I128" s="25" t="s">
        <v>1116</v>
      </c>
      <c r="J128" s="42" t="s">
        <v>1117</v>
      </c>
      <c r="K128" s="42" t="s">
        <v>1118</v>
      </c>
      <c r="L128" s="26">
        <v>1023957120</v>
      </c>
      <c r="M128" s="43" t="s">
        <v>1119</v>
      </c>
      <c r="N128" s="44" t="s">
        <v>1120</v>
      </c>
      <c r="O128" s="45">
        <f>37500000+13833333</f>
        <v>51333333</v>
      </c>
      <c r="P128" s="44">
        <v>44978</v>
      </c>
      <c r="Q128" s="43" t="s">
        <v>1121</v>
      </c>
      <c r="R128" s="46">
        <v>44980</v>
      </c>
      <c r="S128" s="45" t="s">
        <v>162</v>
      </c>
      <c r="T128" s="46">
        <v>44980</v>
      </c>
      <c r="U128" s="45">
        <v>37500000</v>
      </c>
      <c r="V128" s="43" t="s">
        <v>1122</v>
      </c>
      <c r="W128" s="44" t="s">
        <v>1065</v>
      </c>
      <c r="X128" s="47">
        <f>37500000+13833333</f>
        <v>51333333</v>
      </c>
      <c r="Y128" s="46">
        <v>45206</v>
      </c>
      <c r="Z128" s="48" t="s">
        <v>109</v>
      </c>
      <c r="AA128" s="49"/>
      <c r="AB128" s="48"/>
      <c r="AC128" s="26"/>
      <c r="AD128" s="43"/>
      <c r="AE128" s="49"/>
      <c r="AF128" s="49">
        <v>45205</v>
      </c>
      <c r="AG128" s="45">
        <v>13833333</v>
      </c>
      <c r="AH128" s="50">
        <f>U128+AG128</f>
        <v>51333333</v>
      </c>
      <c r="AI128" s="43" t="s">
        <v>1121</v>
      </c>
      <c r="AJ128" s="49">
        <v>45225</v>
      </c>
      <c r="AK128" s="49">
        <v>45205</v>
      </c>
      <c r="AL128" s="42" t="s">
        <v>1123</v>
      </c>
      <c r="AM128" s="43" t="s">
        <v>1121</v>
      </c>
      <c r="AN128" s="49">
        <v>45225</v>
      </c>
      <c r="AO128" s="38"/>
      <c r="AP128" s="38"/>
      <c r="AQ128" s="38"/>
      <c r="AR128" s="38"/>
      <c r="AS128" s="38"/>
      <c r="AT128" s="51"/>
      <c r="AU128" s="52"/>
      <c r="AV128" s="53">
        <v>45291</v>
      </c>
      <c r="AW128" s="41" t="s">
        <v>56</v>
      </c>
      <c r="AX128" s="40" t="s">
        <v>1124</v>
      </c>
      <c r="AY128" s="54">
        <v>20235920008913</v>
      </c>
    </row>
    <row r="129" spans="2:51" s="37" customFormat="1" ht="17.25" customHeight="1" x14ac:dyDescent="0.25">
      <c r="B129" s="38">
        <v>128</v>
      </c>
      <c r="C129" s="39">
        <v>2023</v>
      </c>
      <c r="D129" s="40" t="s">
        <v>1125</v>
      </c>
      <c r="E129" s="41" t="s">
        <v>96</v>
      </c>
      <c r="F129" s="40" t="s">
        <v>97</v>
      </c>
      <c r="G129" s="40" t="s">
        <v>98</v>
      </c>
      <c r="H129" s="41" t="s">
        <v>1126</v>
      </c>
      <c r="I129" s="25" t="s">
        <v>1127</v>
      </c>
      <c r="J129" s="42" t="s">
        <v>1128</v>
      </c>
      <c r="K129" s="42" t="s">
        <v>1129</v>
      </c>
      <c r="L129" s="26">
        <v>52481412</v>
      </c>
      <c r="M129" s="43" t="s">
        <v>1130</v>
      </c>
      <c r="N129" s="44" t="s">
        <v>944</v>
      </c>
      <c r="O129" s="45">
        <f>18750000+7166667</f>
        <v>25916667</v>
      </c>
      <c r="P129" s="44">
        <v>44977</v>
      </c>
      <c r="Q129" s="43" t="s">
        <v>1131</v>
      </c>
      <c r="R129" s="46">
        <v>44977</v>
      </c>
      <c r="S129" s="45" t="s">
        <v>162</v>
      </c>
      <c r="T129" s="46">
        <v>44977</v>
      </c>
      <c r="U129" s="45">
        <v>18750000</v>
      </c>
      <c r="V129" s="43" t="s">
        <v>1132</v>
      </c>
      <c r="W129" s="44" t="s">
        <v>1001</v>
      </c>
      <c r="X129" s="47">
        <f>18750000+7166667</f>
        <v>25916667</v>
      </c>
      <c r="Y129" s="46">
        <v>45203</v>
      </c>
      <c r="Z129" s="48" t="s">
        <v>109</v>
      </c>
      <c r="AA129" s="49"/>
      <c r="AB129" s="48"/>
      <c r="AC129" s="26"/>
      <c r="AD129" s="43"/>
      <c r="AE129" s="49"/>
      <c r="AF129" s="49">
        <v>45203</v>
      </c>
      <c r="AG129" s="45">
        <v>7166667</v>
      </c>
      <c r="AH129" s="50">
        <f>U129+AG129</f>
        <v>25916667</v>
      </c>
      <c r="AI129" s="43" t="s">
        <v>1131</v>
      </c>
      <c r="AJ129" s="49">
        <v>45205</v>
      </c>
      <c r="AK129" s="49">
        <v>45203</v>
      </c>
      <c r="AL129" s="42" t="s">
        <v>947</v>
      </c>
      <c r="AM129" s="43" t="s">
        <v>1131</v>
      </c>
      <c r="AN129" s="49">
        <v>45205</v>
      </c>
      <c r="AO129" s="38"/>
      <c r="AP129" s="38"/>
      <c r="AQ129" s="38"/>
      <c r="AR129" s="38"/>
      <c r="AS129" s="38"/>
      <c r="AT129" s="51"/>
      <c r="AU129" s="52"/>
      <c r="AV129" s="53">
        <v>45291</v>
      </c>
      <c r="AW129" s="41" t="s">
        <v>56</v>
      </c>
      <c r="AX129" s="40" t="s">
        <v>271</v>
      </c>
      <c r="AY129" s="54">
        <v>20235920001933</v>
      </c>
    </row>
    <row r="130" spans="2:51" s="37" customFormat="1" ht="17.25" customHeight="1" x14ac:dyDescent="0.25">
      <c r="B130" s="38">
        <v>129</v>
      </c>
      <c r="C130" s="39">
        <v>2023</v>
      </c>
      <c r="D130" s="40" t="s">
        <v>1133</v>
      </c>
      <c r="E130" s="41" t="s">
        <v>518</v>
      </c>
      <c r="F130" s="40" t="s">
        <v>97</v>
      </c>
      <c r="G130" s="40" t="s">
        <v>98</v>
      </c>
      <c r="H130" s="41" t="s">
        <v>1134</v>
      </c>
      <c r="I130" s="25" t="s">
        <v>1135</v>
      </c>
      <c r="J130" s="42" t="s">
        <v>1136</v>
      </c>
      <c r="K130" s="42" t="s">
        <v>1137</v>
      </c>
      <c r="L130" s="26">
        <v>1006122841</v>
      </c>
      <c r="M130" s="43" t="s">
        <v>1138</v>
      </c>
      <c r="N130" s="44" t="s">
        <v>944</v>
      </c>
      <c r="O130" s="45">
        <f>22500000+8300000</f>
        <v>30800000</v>
      </c>
      <c r="P130" s="44">
        <v>44979</v>
      </c>
      <c r="Q130" s="43" t="s">
        <v>1139</v>
      </c>
      <c r="R130" s="46">
        <v>44980</v>
      </c>
      <c r="S130" s="45" t="s">
        <v>144</v>
      </c>
      <c r="T130" s="46">
        <v>44980</v>
      </c>
      <c r="U130" s="45">
        <v>22500000</v>
      </c>
      <c r="V130" s="43" t="s">
        <v>1140</v>
      </c>
      <c r="W130" s="44" t="s">
        <v>1141</v>
      </c>
      <c r="X130" s="47">
        <f>22500000+8300000</f>
        <v>30800000</v>
      </c>
      <c r="Y130" s="46">
        <v>45206</v>
      </c>
      <c r="Z130" s="48" t="s">
        <v>109</v>
      </c>
      <c r="AA130" s="49"/>
      <c r="AB130" s="48"/>
      <c r="AC130" s="26"/>
      <c r="AD130" s="43"/>
      <c r="AE130" s="49"/>
      <c r="AF130" s="49">
        <v>45204</v>
      </c>
      <c r="AG130" s="45">
        <v>8300000</v>
      </c>
      <c r="AH130" s="50">
        <f>U130+AG130</f>
        <v>30800000</v>
      </c>
      <c r="AI130" s="43" t="s">
        <v>1139</v>
      </c>
      <c r="AJ130" s="49">
        <v>45225</v>
      </c>
      <c r="AK130" s="49">
        <v>45204</v>
      </c>
      <c r="AL130" s="42" t="s">
        <v>1123</v>
      </c>
      <c r="AM130" s="43" t="s">
        <v>1139</v>
      </c>
      <c r="AN130" s="49">
        <v>45225</v>
      </c>
      <c r="AO130" s="38"/>
      <c r="AP130" s="38"/>
      <c r="AQ130" s="38"/>
      <c r="AR130" s="38"/>
      <c r="AS130" s="38"/>
      <c r="AT130" s="51"/>
      <c r="AU130" s="52"/>
      <c r="AV130" s="53">
        <v>45291</v>
      </c>
      <c r="AW130" s="41" t="s">
        <v>56</v>
      </c>
      <c r="AX130" s="40" t="s">
        <v>1142</v>
      </c>
      <c r="AY130" s="54">
        <v>20235920006073</v>
      </c>
    </row>
    <row r="131" spans="2:51" s="37" customFormat="1" ht="17.25" customHeight="1" x14ac:dyDescent="0.25">
      <c r="B131" s="38">
        <v>130</v>
      </c>
      <c r="C131" s="39">
        <v>2023</v>
      </c>
      <c r="D131" s="40" t="s">
        <v>1143</v>
      </c>
      <c r="E131" s="41" t="s">
        <v>153</v>
      </c>
      <c r="F131" s="40" t="s">
        <v>97</v>
      </c>
      <c r="G131" s="40" t="s">
        <v>98</v>
      </c>
      <c r="H131" s="41" t="s">
        <v>1144</v>
      </c>
      <c r="I131" s="25" t="s">
        <v>1145</v>
      </c>
      <c r="J131" s="42" t="s">
        <v>1146</v>
      </c>
      <c r="K131" s="42" t="s">
        <v>1147</v>
      </c>
      <c r="L131" s="26">
        <v>79128526</v>
      </c>
      <c r="M131" s="43">
        <v>930</v>
      </c>
      <c r="N131" s="44">
        <v>44949</v>
      </c>
      <c r="O131" s="45">
        <v>270000000</v>
      </c>
      <c r="P131" s="44">
        <v>44978</v>
      </c>
      <c r="Q131" s="43" t="s">
        <v>1148</v>
      </c>
      <c r="R131" s="46">
        <v>44978</v>
      </c>
      <c r="S131" s="45" t="s">
        <v>162</v>
      </c>
      <c r="T131" s="46">
        <v>44979</v>
      </c>
      <c r="U131" s="45">
        <v>45000000</v>
      </c>
      <c r="V131" s="43">
        <v>990</v>
      </c>
      <c r="W131" s="44">
        <v>44979</v>
      </c>
      <c r="X131" s="47">
        <v>45000000</v>
      </c>
      <c r="Y131" s="46">
        <v>45205</v>
      </c>
      <c r="Z131" s="48" t="s">
        <v>120</v>
      </c>
      <c r="AA131" s="49" t="s">
        <v>121</v>
      </c>
      <c r="AB131" s="48" t="s">
        <v>121</v>
      </c>
      <c r="AC131" s="26" t="s">
        <v>121</v>
      </c>
      <c r="AD131" s="48" t="s">
        <v>121</v>
      </c>
      <c r="AE131" s="49" t="s">
        <v>121</v>
      </c>
      <c r="AF131" s="48" t="s">
        <v>121</v>
      </c>
      <c r="AG131" s="45" t="s">
        <v>121</v>
      </c>
      <c r="AH131" s="50" t="s">
        <v>121</v>
      </c>
      <c r="AI131" s="48" t="s">
        <v>121</v>
      </c>
      <c r="AJ131" s="48" t="s">
        <v>121</v>
      </c>
      <c r="AK131" s="48" t="s">
        <v>121</v>
      </c>
      <c r="AL131" s="42" t="s">
        <v>121</v>
      </c>
      <c r="AM131" s="48" t="s">
        <v>121</v>
      </c>
      <c r="AN131" s="48" t="s">
        <v>121</v>
      </c>
      <c r="AO131" s="38" t="s">
        <v>121</v>
      </c>
      <c r="AP131" s="38" t="s">
        <v>121</v>
      </c>
      <c r="AQ131" s="38" t="s">
        <v>121</v>
      </c>
      <c r="AR131" s="38" t="s">
        <v>121</v>
      </c>
      <c r="AS131" s="38" t="s">
        <v>121</v>
      </c>
      <c r="AT131" s="51" t="s">
        <v>121</v>
      </c>
      <c r="AU131" s="52" t="s">
        <v>121</v>
      </c>
      <c r="AV131" s="38" t="s">
        <v>121</v>
      </c>
      <c r="AW131" s="41" t="s">
        <v>122</v>
      </c>
      <c r="AX131" s="40" t="s">
        <v>145</v>
      </c>
      <c r="AY131" s="54">
        <v>20235900000663</v>
      </c>
    </row>
    <row r="132" spans="2:51" s="37" customFormat="1" ht="17.25" customHeight="1" x14ac:dyDescent="0.25">
      <c r="B132" s="38">
        <v>131</v>
      </c>
      <c r="C132" s="39">
        <v>2023</v>
      </c>
      <c r="D132" s="40" t="s">
        <v>1149</v>
      </c>
      <c r="E132" s="41" t="s">
        <v>199</v>
      </c>
      <c r="F132" s="40" t="s">
        <v>97</v>
      </c>
      <c r="G132" s="40" t="s">
        <v>98</v>
      </c>
      <c r="H132" s="41" t="s">
        <v>1150</v>
      </c>
      <c r="I132" s="25" t="s">
        <v>1151</v>
      </c>
      <c r="J132" s="42" t="s">
        <v>1152</v>
      </c>
      <c r="K132" s="42" t="s">
        <v>1153</v>
      </c>
      <c r="L132" s="26">
        <v>1018493109</v>
      </c>
      <c r="M132" s="43" t="s">
        <v>1154</v>
      </c>
      <c r="N132" s="44" t="s">
        <v>944</v>
      </c>
      <c r="O132" s="45">
        <f>45000000+16400000</f>
        <v>61400000</v>
      </c>
      <c r="P132" s="44">
        <v>44978</v>
      </c>
      <c r="Q132" s="43" t="s">
        <v>1155</v>
      </c>
      <c r="R132" s="46">
        <v>44981</v>
      </c>
      <c r="S132" s="45" t="s">
        <v>162</v>
      </c>
      <c r="T132" s="46">
        <v>44981</v>
      </c>
      <c r="U132" s="45">
        <v>45000000</v>
      </c>
      <c r="V132" s="43" t="s">
        <v>1156</v>
      </c>
      <c r="W132" s="44" t="s">
        <v>1113</v>
      </c>
      <c r="X132" s="47">
        <f>45000000+16400000</f>
        <v>61400000</v>
      </c>
      <c r="Y132" s="46">
        <v>45207</v>
      </c>
      <c r="Z132" s="48" t="s">
        <v>109</v>
      </c>
      <c r="AA132" s="49"/>
      <c r="AB132" s="48"/>
      <c r="AC132" s="26"/>
      <c r="AD132" s="43"/>
      <c r="AE132" s="49"/>
      <c r="AF132" s="49">
        <v>45205</v>
      </c>
      <c r="AG132" s="45">
        <v>16400000</v>
      </c>
      <c r="AH132" s="50">
        <f>U132+AG132</f>
        <v>61400000</v>
      </c>
      <c r="AI132" s="43" t="s">
        <v>1155</v>
      </c>
      <c r="AJ132" s="49">
        <v>45211</v>
      </c>
      <c r="AK132" s="49">
        <v>45205</v>
      </c>
      <c r="AL132" s="42" t="s">
        <v>908</v>
      </c>
      <c r="AM132" s="43" t="s">
        <v>1155</v>
      </c>
      <c r="AN132" s="49">
        <v>45211</v>
      </c>
      <c r="AO132" s="38"/>
      <c r="AP132" s="38"/>
      <c r="AQ132" s="38"/>
      <c r="AR132" s="38"/>
      <c r="AS132" s="38"/>
      <c r="AT132" s="51"/>
      <c r="AU132" s="52"/>
      <c r="AV132" s="53">
        <v>45291</v>
      </c>
      <c r="AW132" s="41" t="s">
        <v>56</v>
      </c>
      <c r="AX132" s="40" t="s">
        <v>845</v>
      </c>
      <c r="AY132" s="54">
        <v>20235900000623</v>
      </c>
    </row>
    <row r="133" spans="2:51" s="37" customFormat="1" ht="17.25" customHeight="1" x14ac:dyDescent="0.25">
      <c r="B133" s="38">
        <v>132</v>
      </c>
      <c r="C133" s="39">
        <v>2023</v>
      </c>
      <c r="D133" s="40" t="s">
        <v>1157</v>
      </c>
      <c r="E133" s="41" t="s">
        <v>199</v>
      </c>
      <c r="F133" s="40" t="s">
        <v>97</v>
      </c>
      <c r="G133" s="40" t="s">
        <v>98</v>
      </c>
      <c r="H133" s="41" t="s">
        <v>1158</v>
      </c>
      <c r="I133" s="25" t="s">
        <v>1159</v>
      </c>
      <c r="J133" s="42" t="s">
        <v>1160</v>
      </c>
      <c r="K133" s="42" t="s">
        <v>1161</v>
      </c>
      <c r="L133" s="26">
        <v>1018454282</v>
      </c>
      <c r="M133" s="43" t="s">
        <v>1162</v>
      </c>
      <c r="N133" s="44" t="s">
        <v>1072</v>
      </c>
      <c r="O133" s="45">
        <f>90000000+16800000</f>
        <v>106800000</v>
      </c>
      <c r="P133" s="44">
        <v>44977</v>
      </c>
      <c r="Q133" s="43" t="s">
        <v>1163</v>
      </c>
      <c r="R133" s="46">
        <v>44979</v>
      </c>
      <c r="S133" s="45" t="s">
        <v>162</v>
      </c>
      <c r="T133" s="46">
        <v>44979</v>
      </c>
      <c r="U133" s="45">
        <v>45000000</v>
      </c>
      <c r="V133" s="43" t="s">
        <v>1164</v>
      </c>
      <c r="W133" s="44" t="s">
        <v>1165</v>
      </c>
      <c r="X133" s="47">
        <f>45000000+16800000</f>
        <v>61800000</v>
      </c>
      <c r="Y133" s="46">
        <v>45205</v>
      </c>
      <c r="Z133" s="48" t="s">
        <v>109</v>
      </c>
      <c r="AA133" s="49"/>
      <c r="AB133" s="48"/>
      <c r="AC133" s="26"/>
      <c r="AD133" s="43"/>
      <c r="AE133" s="49"/>
      <c r="AF133" s="49">
        <v>45204</v>
      </c>
      <c r="AG133" s="45">
        <v>16800000</v>
      </c>
      <c r="AH133" s="50">
        <f>U133+AG133</f>
        <v>61800000</v>
      </c>
      <c r="AI133" s="43" t="s">
        <v>1163</v>
      </c>
      <c r="AJ133" s="49">
        <v>45210</v>
      </c>
      <c r="AK133" s="49">
        <v>45204</v>
      </c>
      <c r="AL133" s="42" t="s">
        <v>1066</v>
      </c>
      <c r="AM133" s="43" t="s">
        <v>1163</v>
      </c>
      <c r="AN133" s="49">
        <v>45210</v>
      </c>
      <c r="AO133" s="38"/>
      <c r="AP133" s="38"/>
      <c r="AQ133" s="38"/>
      <c r="AR133" s="38"/>
      <c r="AS133" s="38"/>
      <c r="AT133" s="51"/>
      <c r="AU133" s="52"/>
      <c r="AV133" s="53">
        <v>45291</v>
      </c>
      <c r="AW133" s="41" t="s">
        <v>56</v>
      </c>
      <c r="AX133" s="40" t="s">
        <v>145</v>
      </c>
      <c r="AY133" s="54">
        <v>20235900000663</v>
      </c>
    </row>
    <row r="134" spans="2:51" s="37" customFormat="1" ht="17.25" customHeight="1" x14ac:dyDescent="0.25">
      <c r="B134" s="38">
        <v>133</v>
      </c>
      <c r="C134" s="39">
        <v>2023</v>
      </c>
      <c r="D134" s="40" t="s">
        <v>1166</v>
      </c>
      <c r="E134" s="41" t="s">
        <v>155</v>
      </c>
      <c r="F134" s="40" t="s">
        <v>97</v>
      </c>
      <c r="G134" s="40" t="s">
        <v>98</v>
      </c>
      <c r="H134" s="41" t="s">
        <v>1167</v>
      </c>
      <c r="I134" s="25" t="s">
        <v>1168</v>
      </c>
      <c r="J134" s="42" t="s">
        <v>1146</v>
      </c>
      <c r="K134" s="42" t="s">
        <v>1169</v>
      </c>
      <c r="L134" s="26">
        <v>91014217</v>
      </c>
      <c r="M134" s="43" t="s">
        <v>1170</v>
      </c>
      <c r="N134" s="44" t="s">
        <v>1171</v>
      </c>
      <c r="O134" s="45">
        <f>270000000+16800000</f>
        <v>286800000</v>
      </c>
      <c r="P134" s="44">
        <v>44978</v>
      </c>
      <c r="Q134" s="43" t="s">
        <v>1172</v>
      </c>
      <c r="R134" s="46">
        <v>44978</v>
      </c>
      <c r="S134" s="45" t="s">
        <v>162</v>
      </c>
      <c r="T134" s="46">
        <v>44979</v>
      </c>
      <c r="U134" s="45">
        <v>45000000</v>
      </c>
      <c r="V134" s="43" t="s">
        <v>1173</v>
      </c>
      <c r="W134" s="44" t="s">
        <v>1174</v>
      </c>
      <c r="X134" s="47">
        <f>45000000+16800000</f>
        <v>61800000</v>
      </c>
      <c r="Y134" s="46">
        <v>45205</v>
      </c>
      <c r="Z134" s="48" t="s">
        <v>109</v>
      </c>
      <c r="AA134" s="49"/>
      <c r="AB134" s="48"/>
      <c r="AC134" s="26"/>
      <c r="AD134" s="43"/>
      <c r="AE134" s="49"/>
      <c r="AF134" s="49">
        <v>45204</v>
      </c>
      <c r="AG134" s="45">
        <v>16800000</v>
      </c>
      <c r="AH134" s="50">
        <f>U134+AG134</f>
        <v>61800000</v>
      </c>
      <c r="AI134" s="43" t="s">
        <v>1172</v>
      </c>
      <c r="AJ134" s="49">
        <v>45205</v>
      </c>
      <c r="AK134" s="49">
        <v>45204</v>
      </c>
      <c r="AL134" s="42" t="s">
        <v>1066</v>
      </c>
      <c r="AM134" s="43" t="s">
        <v>1172</v>
      </c>
      <c r="AN134" s="49">
        <v>45205</v>
      </c>
      <c r="AO134" s="38"/>
      <c r="AP134" s="38"/>
      <c r="AQ134" s="38"/>
      <c r="AR134" s="38"/>
      <c r="AS134" s="38"/>
      <c r="AT134" s="51"/>
      <c r="AU134" s="52"/>
      <c r="AV134" s="53">
        <v>45291</v>
      </c>
      <c r="AW134" s="41" t="s">
        <v>56</v>
      </c>
      <c r="AX134" s="40" t="s">
        <v>145</v>
      </c>
      <c r="AY134" s="54">
        <v>20235900000663</v>
      </c>
    </row>
    <row r="135" spans="2:51" s="37" customFormat="1" ht="17.25" customHeight="1" x14ac:dyDescent="0.25">
      <c r="B135" s="38">
        <v>134</v>
      </c>
      <c r="C135" s="39">
        <v>2023</v>
      </c>
      <c r="D135" s="40" t="s">
        <v>1175</v>
      </c>
      <c r="E135" s="41" t="s">
        <v>128</v>
      </c>
      <c r="F135" s="40" t="s">
        <v>97</v>
      </c>
      <c r="G135" s="40" t="s">
        <v>98</v>
      </c>
      <c r="H135" s="41" t="s">
        <v>1176</v>
      </c>
      <c r="I135" s="25" t="s">
        <v>1177</v>
      </c>
      <c r="J135" s="42" t="s">
        <v>1178</v>
      </c>
      <c r="K135" s="42" t="s">
        <v>1179</v>
      </c>
      <c r="L135" s="26">
        <v>98380979</v>
      </c>
      <c r="M135" s="43" t="s">
        <v>1180</v>
      </c>
      <c r="N135" s="44" t="s">
        <v>1181</v>
      </c>
      <c r="O135" s="45">
        <f>56250000+20750000</f>
        <v>77000000</v>
      </c>
      <c r="P135" s="44">
        <v>44978</v>
      </c>
      <c r="Q135" s="43" t="s">
        <v>1182</v>
      </c>
      <c r="R135" s="46">
        <v>44979</v>
      </c>
      <c r="S135" s="45" t="s">
        <v>162</v>
      </c>
      <c r="T135" s="46">
        <v>44980</v>
      </c>
      <c r="U135" s="45">
        <v>56250000</v>
      </c>
      <c r="V135" s="43" t="s">
        <v>1183</v>
      </c>
      <c r="W135" s="44" t="s">
        <v>1113</v>
      </c>
      <c r="X135" s="47">
        <f>56250000+20750000</f>
        <v>77000000</v>
      </c>
      <c r="Y135" s="46">
        <v>45206</v>
      </c>
      <c r="Z135" s="48" t="s">
        <v>109</v>
      </c>
      <c r="AA135" s="49"/>
      <c r="AB135" s="48"/>
      <c r="AC135" s="26"/>
      <c r="AD135" s="43"/>
      <c r="AE135" s="49"/>
      <c r="AF135" s="49">
        <v>45205</v>
      </c>
      <c r="AG135" s="45">
        <v>20750000</v>
      </c>
      <c r="AH135" s="50">
        <f>U135+AG135</f>
        <v>77000000</v>
      </c>
      <c r="AI135" s="43" t="s">
        <v>1182</v>
      </c>
      <c r="AJ135" s="49">
        <v>45209</v>
      </c>
      <c r="AK135" s="49">
        <v>45205</v>
      </c>
      <c r="AL135" s="42" t="s">
        <v>1123</v>
      </c>
      <c r="AM135" s="43" t="s">
        <v>1182</v>
      </c>
      <c r="AN135" s="49">
        <v>45209</v>
      </c>
      <c r="AO135" s="38"/>
      <c r="AP135" s="38"/>
      <c r="AQ135" s="38"/>
      <c r="AR135" s="38"/>
      <c r="AS135" s="38"/>
      <c r="AT135" s="51"/>
      <c r="AU135" s="52"/>
      <c r="AV135" s="53">
        <v>45291</v>
      </c>
      <c r="AW135" s="41" t="s">
        <v>56</v>
      </c>
      <c r="AX135" s="40" t="s">
        <v>652</v>
      </c>
      <c r="AY135" s="54">
        <v>20235920008843</v>
      </c>
    </row>
    <row r="136" spans="2:51" s="37" customFormat="1" ht="26.25" x14ac:dyDescent="0.25">
      <c r="B136" s="38">
        <v>135</v>
      </c>
      <c r="C136" s="39">
        <v>2023</v>
      </c>
      <c r="D136" s="40" t="s">
        <v>1184</v>
      </c>
      <c r="E136" s="41" t="s">
        <v>96</v>
      </c>
      <c r="F136" s="40" t="s">
        <v>97</v>
      </c>
      <c r="G136" s="40" t="s">
        <v>98</v>
      </c>
      <c r="H136" s="41" t="s">
        <v>1185</v>
      </c>
      <c r="I136" s="25" t="s">
        <v>1186</v>
      </c>
      <c r="J136" s="42" t="s">
        <v>1187</v>
      </c>
      <c r="K136" s="42" t="s">
        <v>1188</v>
      </c>
      <c r="L136" s="26">
        <v>52848705</v>
      </c>
      <c r="M136" s="43" t="s">
        <v>1189</v>
      </c>
      <c r="N136" s="44" t="s">
        <v>1190</v>
      </c>
      <c r="O136" s="45">
        <f>54000000+8880000</f>
        <v>62880000</v>
      </c>
      <c r="P136" s="44">
        <v>44979</v>
      </c>
      <c r="Q136" s="43" t="s">
        <v>1191</v>
      </c>
      <c r="R136" s="46">
        <v>44984</v>
      </c>
      <c r="S136" s="45" t="s">
        <v>162</v>
      </c>
      <c r="T136" s="46">
        <v>44987</v>
      </c>
      <c r="U136" s="45">
        <v>27000000</v>
      </c>
      <c r="V136" s="43" t="s">
        <v>1192</v>
      </c>
      <c r="W136" s="44" t="s">
        <v>1193</v>
      </c>
      <c r="X136" s="47">
        <f>27000000+8880000</f>
        <v>35880000</v>
      </c>
      <c r="Y136" s="46">
        <v>45215</v>
      </c>
      <c r="Z136" s="48" t="s">
        <v>109</v>
      </c>
      <c r="AA136" s="49"/>
      <c r="AB136" s="48"/>
      <c r="AC136" s="26"/>
      <c r="AD136" s="48"/>
      <c r="AE136" s="49"/>
      <c r="AF136" s="49">
        <v>45212</v>
      </c>
      <c r="AG136" s="45">
        <v>8880000</v>
      </c>
      <c r="AH136" s="50">
        <f>U136+AG136</f>
        <v>35880000</v>
      </c>
      <c r="AI136" s="48" t="s">
        <v>1194</v>
      </c>
      <c r="AJ136" s="49">
        <v>45218</v>
      </c>
      <c r="AK136" s="49">
        <v>45212</v>
      </c>
      <c r="AL136" s="42" t="s">
        <v>1195</v>
      </c>
      <c r="AM136" s="48" t="s">
        <v>1194</v>
      </c>
      <c r="AN136" s="49">
        <v>45218</v>
      </c>
      <c r="AO136" s="38"/>
      <c r="AP136" s="38"/>
      <c r="AQ136" s="38"/>
      <c r="AR136" s="38"/>
      <c r="AS136" s="38"/>
      <c r="AT136" s="51"/>
      <c r="AU136" s="52"/>
      <c r="AV136" s="53">
        <v>45291</v>
      </c>
      <c r="AW136" s="41" t="s">
        <v>56</v>
      </c>
      <c r="AX136" s="40" t="s">
        <v>145</v>
      </c>
      <c r="AY136" s="54">
        <v>20235920003733</v>
      </c>
    </row>
    <row r="137" spans="2:51" s="37" customFormat="1" ht="17.25" customHeight="1" x14ac:dyDescent="0.25">
      <c r="B137" s="38">
        <v>136</v>
      </c>
      <c r="C137" s="39">
        <v>2023</v>
      </c>
      <c r="D137" s="40" t="s">
        <v>1196</v>
      </c>
      <c r="E137" s="41" t="s">
        <v>518</v>
      </c>
      <c r="F137" s="40" t="s">
        <v>97</v>
      </c>
      <c r="G137" s="40" t="s">
        <v>98</v>
      </c>
      <c r="H137" s="41" t="s">
        <v>1197</v>
      </c>
      <c r="I137" s="25" t="s">
        <v>1198</v>
      </c>
      <c r="J137" s="42" t="s">
        <v>563</v>
      </c>
      <c r="K137" s="42" t="s">
        <v>1199</v>
      </c>
      <c r="L137" s="26">
        <v>52981540</v>
      </c>
      <c r="M137" s="43">
        <v>1017</v>
      </c>
      <c r="N137" s="44">
        <v>44972</v>
      </c>
      <c r="O137" s="45">
        <v>116370000</v>
      </c>
      <c r="P137" s="44">
        <v>44979</v>
      </c>
      <c r="Q137" s="43" t="s">
        <v>1200</v>
      </c>
      <c r="R137" s="46">
        <v>44979</v>
      </c>
      <c r="S137" s="45" t="s">
        <v>162</v>
      </c>
      <c r="T137" s="46">
        <v>44980</v>
      </c>
      <c r="U137" s="45">
        <v>38790000</v>
      </c>
      <c r="V137" s="43">
        <v>996</v>
      </c>
      <c r="W137" s="44">
        <v>44980</v>
      </c>
      <c r="X137" s="47">
        <v>38790000</v>
      </c>
      <c r="Y137" s="46">
        <v>45206</v>
      </c>
      <c r="Z137" s="48" t="s">
        <v>120</v>
      </c>
      <c r="AA137" s="49" t="s">
        <v>121</v>
      </c>
      <c r="AB137" s="48" t="s">
        <v>121</v>
      </c>
      <c r="AC137" s="26" t="s">
        <v>121</v>
      </c>
      <c r="AD137" s="48" t="s">
        <v>121</v>
      </c>
      <c r="AE137" s="49" t="s">
        <v>121</v>
      </c>
      <c r="AF137" s="48" t="s">
        <v>121</v>
      </c>
      <c r="AG137" s="45" t="s">
        <v>121</v>
      </c>
      <c r="AH137" s="50" t="s">
        <v>121</v>
      </c>
      <c r="AI137" s="48" t="s">
        <v>121</v>
      </c>
      <c r="AJ137" s="48" t="s">
        <v>121</v>
      </c>
      <c r="AK137" s="48" t="s">
        <v>121</v>
      </c>
      <c r="AL137" s="42" t="s">
        <v>121</v>
      </c>
      <c r="AM137" s="48" t="s">
        <v>121</v>
      </c>
      <c r="AN137" s="48" t="s">
        <v>121</v>
      </c>
      <c r="AO137" s="38" t="s">
        <v>121</v>
      </c>
      <c r="AP137" s="38" t="s">
        <v>121</v>
      </c>
      <c r="AQ137" s="38" t="s">
        <v>121</v>
      </c>
      <c r="AR137" s="38" t="s">
        <v>121</v>
      </c>
      <c r="AS137" s="38" t="s">
        <v>121</v>
      </c>
      <c r="AT137" s="51" t="s">
        <v>121</v>
      </c>
      <c r="AU137" s="52" t="s">
        <v>121</v>
      </c>
      <c r="AV137" s="38" t="s">
        <v>121</v>
      </c>
      <c r="AW137" s="41" t="s">
        <v>122</v>
      </c>
      <c r="AX137" s="40" t="s">
        <v>566</v>
      </c>
      <c r="AY137" s="54">
        <v>20235920002973</v>
      </c>
    </row>
    <row r="138" spans="2:51" s="37" customFormat="1" ht="17.25" customHeight="1" x14ac:dyDescent="0.25">
      <c r="B138" s="38">
        <v>137</v>
      </c>
      <c r="C138" s="39">
        <v>2023</v>
      </c>
      <c r="D138" s="40" t="s">
        <v>1201</v>
      </c>
      <c r="E138" s="41" t="s">
        <v>324</v>
      </c>
      <c r="F138" s="40" t="s">
        <v>97</v>
      </c>
      <c r="G138" s="40" t="s">
        <v>98</v>
      </c>
      <c r="H138" s="41" t="s">
        <v>1202</v>
      </c>
      <c r="I138" s="25" t="s">
        <v>1203</v>
      </c>
      <c r="J138" s="42" t="s">
        <v>1146</v>
      </c>
      <c r="K138" s="42" t="s">
        <v>1204</v>
      </c>
      <c r="L138" s="26">
        <v>80010043</v>
      </c>
      <c r="M138" s="43">
        <v>930</v>
      </c>
      <c r="N138" s="44">
        <v>44949</v>
      </c>
      <c r="O138" s="45">
        <v>270000000</v>
      </c>
      <c r="P138" s="44">
        <v>44978</v>
      </c>
      <c r="Q138" s="43" t="s">
        <v>1205</v>
      </c>
      <c r="R138" s="46">
        <v>44979</v>
      </c>
      <c r="S138" s="45" t="s">
        <v>344</v>
      </c>
      <c r="T138" s="46">
        <v>44980</v>
      </c>
      <c r="U138" s="45">
        <v>24000000</v>
      </c>
      <c r="V138" s="43">
        <v>992</v>
      </c>
      <c r="W138" s="44">
        <v>44979</v>
      </c>
      <c r="X138" s="47">
        <v>24000000</v>
      </c>
      <c r="Y138" s="46">
        <v>45099</v>
      </c>
      <c r="Z138" s="48" t="s">
        <v>120</v>
      </c>
      <c r="AA138" s="49" t="s">
        <v>121</v>
      </c>
      <c r="AB138" s="49" t="s">
        <v>121</v>
      </c>
      <c r="AC138" s="26" t="s">
        <v>121</v>
      </c>
      <c r="AD138" s="49" t="s">
        <v>121</v>
      </c>
      <c r="AE138" s="49" t="s">
        <v>121</v>
      </c>
      <c r="AF138" s="48"/>
      <c r="AG138" s="45"/>
      <c r="AH138" s="50">
        <f>U138+AG138</f>
        <v>24000000</v>
      </c>
      <c r="AI138" s="50" t="s">
        <v>121</v>
      </c>
      <c r="AJ138" s="50" t="s">
        <v>121</v>
      </c>
      <c r="AK138" s="50" t="s">
        <v>121</v>
      </c>
      <c r="AL138" s="50" t="s">
        <v>121</v>
      </c>
      <c r="AM138" s="50" t="s">
        <v>121</v>
      </c>
      <c r="AN138" s="50" t="s">
        <v>121</v>
      </c>
      <c r="AO138" s="50" t="s">
        <v>121</v>
      </c>
      <c r="AP138" s="50" t="s">
        <v>121</v>
      </c>
      <c r="AQ138" s="50" t="s">
        <v>121</v>
      </c>
      <c r="AR138" s="50" t="s">
        <v>121</v>
      </c>
      <c r="AS138" s="50" t="s">
        <v>121</v>
      </c>
      <c r="AT138" s="50" t="s">
        <v>121</v>
      </c>
      <c r="AU138" s="50" t="s">
        <v>121</v>
      </c>
      <c r="AV138" s="49" t="s">
        <v>121</v>
      </c>
      <c r="AW138" s="41" t="s">
        <v>122</v>
      </c>
      <c r="AX138" s="40" t="s">
        <v>145</v>
      </c>
      <c r="AY138" s="54">
        <v>20235900000663</v>
      </c>
    </row>
    <row r="139" spans="2:51" s="37" customFormat="1" ht="17.25" customHeight="1" x14ac:dyDescent="0.25">
      <c r="B139" s="38">
        <v>138</v>
      </c>
      <c r="C139" s="39">
        <v>2023</v>
      </c>
      <c r="D139" s="40" t="s">
        <v>1206</v>
      </c>
      <c r="E139" s="41" t="s">
        <v>153</v>
      </c>
      <c r="F139" s="40" t="s">
        <v>97</v>
      </c>
      <c r="G139" s="40" t="s">
        <v>98</v>
      </c>
      <c r="H139" s="41" t="s">
        <v>1207</v>
      </c>
      <c r="I139" s="25" t="s">
        <v>1208</v>
      </c>
      <c r="J139" s="42" t="s">
        <v>1209</v>
      </c>
      <c r="K139" s="42" t="s">
        <v>1210</v>
      </c>
      <c r="L139" s="26">
        <v>1049637492</v>
      </c>
      <c r="M139" s="43" t="s">
        <v>1211</v>
      </c>
      <c r="N139" s="44" t="s">
        <v>1212</v>
      </c>
      <c r="O139" s="45">
        <f>180000000+15800000</f>
        <v>195800000</v>
      </c>
      <c r="P139" s="44">
        <v>44981</v>
      </c>
      <c r="Q139" s="43" t="s">
        <v>1213</v>
      </c>
      <c r="R139" s="46">
        <v>44981</v>
      </c>
      <c r="S139" s="45" t="s">
        <v>162</v>
      </c>
      <c r="T139" s="46">
        <v>44984</v>
      </c>
      <c r="U139" s="45">
        <v>45000000</v>
      </c>
      <c r="V139" s="43" t="s">
        <v>1214</v>
      </c>
      <c r="W139" s="44" t="s">
        <v>1215</v>
      </c>
      <c r="X139" s="47">
        <f>45000000+15800000</f>
        <v>60800000</v>
      </c>
      <c r="Y139" s="46">
        <v>45210</v>
      </c>
      <c r="Z139" s="48" t="s">
        <v>109</v>
      </c>
      <c r="AA139" s="49"/>
      <c r="AB139" s="48"/>
      <c r="AC139" s="26"/>
      <c r="AD139" s="43"/>
      <c r="AE139" s="49"/>
      <c r="AF139" s="49">
        <v>45209</v>
      </c>
      <c r="AG139" s="45">
        <v>15800000</v>
      </c>
      <c r="AH139" s="50">
        <f>U139+AG139</f>
        <v>60800000</v>
      </c>
      <c r="AI139" s="43" t="s">
        <v>1213</v>
      </c>
      <c r="AJ139" s="49">
        <v>45211</v>
      </c>
      <c r="AK139" s="49">
        <v>45209</v>
      </c>
      <c r="AL139" s="42" t="s">
        <v>1216</v>
      </c>
      <c r="AM139" s="43" t="s">
        <v>1213</v>
      </c>
      <c r="AN139" s="49">
        <v>45211</v>
      </c>
      <c r="AO139" s="38"/>
      <c r="AP139" s="38"/>
      <c r="AQ139" s="38"/>
      <c r="AR139" s="38"/>
      <c r="AS139" s="38"/>
      <c r="AT139" s="51"/>
      <c r="AU139" s="52"/>
      <c r="AV139" s="53">
        <v>45291</v>
      </c>
      <c r="AW139" s="41" t="s">
        <v>56</v>
      </c>
      <c r="AX139" s="40" t="s">
        <v>758</v>
      </c>
      <c r="AY139" s="54">
        <v>20235900000673</v>
      </c>
    </row>
    <row r="140" spans="2:51" s="37" customFormat="1" ht="26.25" x14ac:dyDescent="0.25">
      <c r="B140" s="38">
        <v>139</v>
      </c>
      <c r="C140" s="39">
        <v>2023</v>
      </c>
      <c r="D140" s="40" t="s">
        <v>1217</v>
      </c>
      <c r="E140" s="41" t="s">
        <v>153</v>
      </c>
      <c r="F140" s="40" t="s">
        <v>97</v>
      </c>
      <c r="G140" s="40" t="s">
        <v>98</v>
      </c>
      <c r="H140" s="41" t="s">
        <v>1218</v>
      </c>
      <c r="I140" s="25" t="s">
        <v>1219</v>
      </c>
      <c r="J140" s="42" t="s">
        <v>1209</v>
      </c>
      <c r="K140" s="42" t="s">
        <v>1220</v>
      </c>
      <c r="L140" s="26">
        <v>1014207855</v>
      </c>
      <c r="M140" s="43" t="s">
        <v>1221</v>
      </c>
      <c r="N140" s="44" t="s">
        <v>1212</v>
      </c>
      <c r="O140" s="45">
        <f>180000000+15800000</f>
        <v>195800000</v>
      </c>
      <c r="P140" s="44">
        <v>44981</v>
      </c>
      <c r="Q140" s="43" t="s">
        <v>1222</v>
      </c>
      <c r="R140" s="46">
        <v>44984</v>
      </c>
      <c r="S140" s="45" t="s">
        <v>162</v>
      </c>
      <c r="T140" s="46">
        <v>44984</v>
      </c>
      <c r="U140" s="45">
        <v>45000000</v>
      </c>
      <c r="V140" s="43" t="s">
        <v>1223</v>
      </c>
      <c r="W140" s="44" t="s">
        <v>1215</v>
      </c>
      <c r="X140" s="47">
        <f>45000000+15800000</f>
        <v>60800000</v>
      </c>
      <c r="Y140" s="46">
        <v>45210</v>
      </c>
      <c r="Z140" s="48" t="s">
        <v>109</v>
      </c>
      <c r="AA140" s="49"/>
      <c r="AB140" s="48"/>
      <c r="AC140" s="26"/>
      <c r="AD140" s="43"/>
      <c r="AE140" s="49"/>
      <c r="AF140" s="49">
        <v>45210</v>
      </c>
      <c r="AG140" s="45">
        <v>15800000</v>
      </c>
      <c r="AH140" s="50">
        <f>U140+AG140</f>
        <v>60800000</v>
      </c>
      <c r="AI140" s="43" t="s">
        <v>1222</v>
      </c>
      <c r="AJ140" s="49">
        <v>45218</v>
      </c>
      <c r="AK140" s="49">
        <v>45210</v>
      </c>
      <c r="AL140" s="42" t="s">
        <v>1216</v>
      </c>
      <c r="AM140" s="43" t="s">
        <v>1222</v>
      </c>
      <c r="AN140" s="49">
        <v>45218</v>
      </c>
      <c r="AO140" s="38"/>
      <c r="AP140" s="38"/>
      <c r="AQ140" s="38"/>
      <c r="AR140" s="38"/>
      <c r="AS140" s="38"/>
      <c r="AT140" s="51"/>
      <c r="AU140" s="52"/>
      <c r="AV140" s="53">
        <v>45291</v>
      </c>
      <c r="AW140" s="41" t="s">
        <v>56</v>
      </c>
      <c r="AX140" s="40" t="s">
        <v>758</v>
      </c>
      <c r="AY140" s="54">
        <v>20235900000673</v>
      </c>
    </row>
    <row r="141" spans="2:51" s="37" customFormat="1" ht="26.25" x14ac:dyDescent="0.25">
      <c r="B141" s="38">
        <v>140</v>
      </c>
      <c r="C141" s="39">
        <v>2023</v>
      </c>
      <c r="D141" s="40" t="s">
        <v>1224</v>
      </c>
      <c r="E141" s="41" t="s">
        <v>153</v>
      </c>
      <c r="F141" s="40" t="s">
        <v>97</v>
      </c>
      <c r="G141" s="40" t="s">
        <v>98</v>
      </c>
      <c r="H141" s="41" t="s">
        <v>1225</v>
      </c>
      <c r="I141" s="25" t="s">
        <v>1226</v>
      </c>
      <c r="J141" s="42" t="s">
        <v>1209</v>
      </c>
      <c r="K141" s="42" t="s">
        <v>1227</v>
      </c>
      <c r="L141" s="26">
        <v>39750866</v>
      </c>
      <c r="M141" s="43" t="s">
        <v>1228</v>
      </c>
      <c r="N141" s="44" t="s">
        <v>1212</v>
      </c>
      <c r="O141" s="45">
        <f>180000000+15800000</f>
        <v>195800000</v>
      </c>
      <c r="P141" s="44">
        <v>44981</v>
      </c>
      <c r="Q141" s="43" t="s">
        <v>1229</v>
      </c>
      <c r="R141" s="46">
        <v>44981</v>
      </c>
      <c r="S141" s="45" t="s">
        <v>162</v>
      </c>
      <c r="T141" s="46">
        <v>44984</v>
      </c>
      <c r="U141" s="45">
        <v>45000000</v>
      </c>
      <c r="V141" s="43" t="s">
        <v>1230</v>
      </c>
      <c r="W141" s="44" t="s">
        <v>1215</v>
      </c>
      <c r="X141" s="47">
        <f>45000000+15800000</f>
        <v>60800000</v>
      </c>
      <c r="Y141" s="46">
        <v>45210</v>
      </c>
      <c r="Z141" s="48" t="s">
        <v>109</v>
      </c>
      <c r="AA141" s="49"/>
      <c r="AB141" s="48"/>
      <c r="AC141" s="26"/>
      <c r="AD141" s="43"/>
      <c r="AE141" s="49"/>
      <c r="AF141" s="49">
        <v>45210</v>
      </c>
      <c r="AG141" s="45">
        <v>15800000</v>
      </c>
      <c r="AH141" s="50">
        <f>U141+AG141</f>
        <v>60800000</v>
      </c>
      <c r="AI141" s="43" t="s">
        <v>1229</v>
      </c>
      <c r="AJ141" s="49">
        <v>45218</v>
      </c>
      <c r="AK141" s="49">
        <v>45210</v>
      </c>
      <c r="AL141" s="42" t="s">
        <v>1216</v>
      </c>
      <c r="AM141" s="43" t="s">
        <v>1229</v>
      </c>
      <c r="AN141" s="49">
        <v>45218</v>
      </c>
      <c r="AO141" s="38"/>
      <c r="AP141" s="38"/>
      <c r="AQ141" s="38"/>
      <c r="AR141" s="38"/>
      <c r="AS141" s="38"/>
      <c r="AT141" s="51"/>
      <c r="AU141" s="52"/>
      <c r="AV141" s="53">
        <v>45291</v>
      </c>
      <c r="AW141" s="41" t="s">
        <v>56</v>
      </c>
      <c r="AX141" s="40" t="s">
        <v>758</v>
      </c>
      <c r="AY141" s="54">
        <v>20235900000673</v>
      </c>
    </row>
    <row r="142" spans="2:51" s="37" customFormat="1" ht="26.25" x14ac:dyDescent="0.25">
      <c r="B142" s="38">
        <v>141</v>
      </c>
      <c r="C142" s="39">
        <v>2023</v>
      </c>
      <c r="D142" s="40" t="s">
        <v>1231</v>
      </c>
      <c r="E142" s="41" t="s">
        <v>153</v>
      </c>
      <c r="F142" s="40" t="s">
        <v>97</v>
      </c>
      <c r="G142" s="40" t="s">
        <v>98</v>
      </c>
      <c r="H142" s="41" t="s">
        <v>1232</v>
      </c>
      <c r="I142" s="25" t="s">
        <v>1233</v>
      </c>
      <c r="J142" s="42" t="s">
        <v>1209</v>
      </c>
      <c r="K142" s="42" t="s">
        <v>1234</v>
      </c>
      <c r="L142" s="26">
        <v>1015415021</v>
      </c>
      <c r="M142" s="43" t="s">
        <v>1235</v>
      </c>
      <c r="N142" s="44" t="s">
        <v>1212</v>
      </c>
      <c r="O142" s="45">
        <f>180000000+15800000</f>
        <v>195800000</v>
      </c>
      <c r="P142" s="44">
        <v>44981</v>
      </c>
      <c r="Q142" s="43" t="s">
        <v>1236</v>
      </c>
      <c r="R142" s="46">
        <v>44984</v>
      </c>
      <c r="S142" s="45" t="s">
        <v>162</v>
      </c>
      <c r="T142" s="46">
        <v>44984</v>
      </c>
      <c r="U142" s="45">
        <v>45000000</v>
      </c>
      <c r="V142" s="43" t="s">
        <v>1237</v>
      </c>
      <c r="W142" s="44" t="s">
        <v>1215</v>
      </c>
      <c r="X142" s="47">
        <f>45000000+15800000</f>
        <v>60800000</v>
      </c>
      <c r="Y142" s="46">
        <v>45210</v>
      </c>
      <c r="Z142" s="48" t="s">
        <v>109</v>
      </c>
      <c r="AA142" s="49"/>
      <c r="AB142" s="48"/>
      <c r="AC142" s="26"/>
      <c r="AD142" s="43"/>
      <c r="AE142" s="49"/>
      <c r="AF142" s="49">
        <v>45210</v>
      </c>
      <c r="AG142" s="45">
        <v>15800000</v>
      </c>
      <c r="AH142" s="50">
        <f>U142+AG142</f>
        <v>60800000</v>
      </c>
      <c r="AI142" s="43" t="s">
        <v>1236</v>
      </c>
      <c r="AJ142" s="49">
        <v>45218</v>
      </c>
      <c r="AK142" s="49">
        <v>45210</v>
      </c>
      <c r="AL142" s="42" t="s">
        <v>1216</v>
      </c>
      <c r="AM142" s="43" t="s">
        <v>1236</v>
      </c>
      <c r="AN142" s="49">
        <v>45218</v>
      </c>
      <c r="AO142" s="38"/>
      <c r="AP142" s="38"/>
      <c r="AQ142" s="38"/>
      <c r="AR142" s="38"/>
      <c r="AS142" s="38"/>
      <c r="AT142" s="51"/>
      <c r="AU142" s="52"/>
      <c r="AV142" s="53">
        <v>45291</v>
      </c>
      <c r="AW142" s="41" t="s">
        <v>56</v>
      </c>
      <c r="AX142" s="40" t="s">
        <v>758</v>
      </c>
      <c r="AY142" s="54">
        <v>20235900000673</v>
      </c>
    </row>
    <row r="143" spans="2:51" s="37" customFormat="1" ht="26.25" x14ac:dyDescent="0.25">
      <c r="B143" s="38">
        <v>142</v>
      </c>
      <c r="C143" s="39">
        <v>2023</v>
      </c>
      <c r="D143" s="40" t="s">
        <v>1238</v>
      </c>
      <c r="E143" s="41" t="s">
        <v>153</v>
      </c>
      <c r="F143" s="40" t="s">
        <v>97</v>
      </c>
      <c r="G143" s="40" t="s">
        <v>98</v>
      </c>
      <c r="H143" s="41" t="s">
        <v>1239</v>
      </c>
      <c r="I143" s="25" t="s">
        <v>1240</v>
      </c>
      <c r="J143" s="42" t="s">
        <v>1152</v>
      </c>
      <c r="K143" s="42" t="s">
        <v>1241</v>
      </c>
      <c r="L143" s="26">
        <v>1048849987</v>
      </c>
      <c r="M143" s="43" t="s">
        <v>1242</v>
      </c>
      <c r="N143" s="44" t="s">
        <v>1212</v>
      </c>
      <c r="O143" s="45">
        <f>50250000+17643333</f>
        <v>67893333</v>
      </c>
      <c r="P143" s="44">
        <v>44981</v>
      </c>
      <c r="Q143" s="43" t="s">
        <v>1243</v>
      </c>
      <c r="R143" s="46">
        <v>44981</v>
      </c>
      <c r="S143" s="45" t="s">
        <v>162</v>
      </c>
      <c r="T143" s="46">
        <v>44984</v>
      </c>
      <c r="U143" s="45">
        <v>50250000</v>
      </c>
      <c r="V143" s="43" t="s">
        <v>1244</v>
      </c>
      <c r="W143" s="44" t="s">
        <v>1245</v>
      </c>
      <c r="X143" s="47">
        <f>50250000+17643333</f>
        <v>67893333</v>
      </c>
      <c r="Y143" s="46">
        <v>45210</v>
      </c>
      <c r="Z143" s="48" t="s">
        <v>109</v>
      </c>
      <c r="AA143" s="49"/>
      <c r="AB143" s="48"/>
      <c r="AC143" s="26"/>
      <c r="AD143" s="43"/>
      <c r="AE143" s="49"/>
      <c r="AF143" s="49">
        <v>45210</v>
      </c>
      <c r="AG143" s="45">
        <v>17643333</v>
      </c>
      <c r="AH143" s="50">
        <f>U143+AG143</f>
        <v>67893333</v>
      </c>
      <c r="AI143" s="43" t="s">
        <v>1243</v>
      </c>
      <c r="AJ143" s="49">
        <v>45218</v>
      </c>
      <c r="AK143" s="49">
        <v>45210</v>
      </c>
      <c r="AL143" s="42" t="s">
        <v>1216</v>
      </c>
      <c r="AM143" s="43" t="s">
        <v>1243</v>
      </c>
      <c r="AN143" s="49">
        <v>45218</v>
      </c>
      <c r="AO143" s="38"/>
      <c r="AP143" s="38"/>
      <c r="AQ143" s="38"/>
      <c r="AR143" s="38"/>
      <c r="AS143" s="38"/>
      <c r="AT143" s="51"/>
      <c r="AU143" s="52"/>
      <c r="AV143" s="53">
        <v>45291</v>
      </c>
      <c r="AW143" s="41" t="s">
        <v>56</v>
      </c>
      <c r="AX143" s="40" t="s">
        <v>845</v>
      </c>
      <c r="AY143" s="54">
        <v>20235920002403</v>
      </c>
    </row>
    <row r="144" spans="2:51" s="37" customFormat="1" ht="26.25" x14ac:dyDescent="0.25">
      <c r="B144" s="38">
        <v>143</v>
      </c>
      <c r="C144" s="39">
        <v>2023</v>
      </c>
      <c r="D144" s="40" t="s">
        <v>1246</v>
      </c>
      <c r="E144" s="41" t="s">
        <v>199</v>
      </c>
      <c r="F144" s="40" t="s">
        <v>97</v>
      </c>
      <c r="G144" s="40" t="s">
        <v>98</v>
      </c>
      <c r="H144" s="41" t="s">
        <v>1247</v>
      </c>
      <c r="I144" s="25" t="s">
        <v>1248</v>
      </c>
      <c r="J144" s="42" t="s">
        <v>1249</v>
      </c>
      <c r="K144" s="42" t="s">
        <v>1250</v>
      </c>
      <c r="L144" s="26">
        <v>79880554</v>
      </c>
      <c r="M144" s="43" t="s">
        <v>1251</v>
      </c>
      <c r="N144" s="44" t="s">
        <v>1252</v>
      </c>
      <c r="O144" s="45">
        <f>101250000+6300000</f>
        <v>107550000</v>
      </c>
      <c r="P144" s="44">
        <v>44981</v>
      </c>
      <c r="Q144" s="43" t="s">
        <v>1253</v>
      </c>
      <c r="R144" s="46">
        <v>44991</v>
      </c>
      <c r="S144" s="45" t="s">
        <v>162</v>
      </c>
      <c r="T144" s="46">
        <v>44991</v>
      </c>
      <c r="U144" s="45">
        <v>20500000</v>
      </c>
      <c r="V144" s="43" t="s">
        <v>1254</v>
      </c>
      <c r="W144" s="44" t="s">
        <v>1255</v>
      </c>
      <c r="X144" s="47">
        <f>20250000+6300000</f>
        <v>26550000</v>
      </c>
      <c r="Y144" s="46">
        <v>45219</v>
      </c>
      <c r="Z144" s="48" t="s">
        <v>109</v>
      </c>
      <c r="AA144" s="49"/>
      <c r="AB144" s="48"/>
      <c r="AC144" s="26"/>
      <c r="AD144" s="48"/>
      <c r="AE144" s="49"/>
      <c r="AF144" s="49">
        <v>45218</v>
      </c>
      <c r="AG144" s="45">
        <v>6300000</v>
      </c>
      <c r="AH144" s="50">
        <f>U144+AG144</f>
        <v>26800000</v>
      </c>
      <c r="AI144" s="48" t="s">
        <v>708</v>
      </c>
      <c r="AJ144" s="48" t="s">
        <v>708</v>
      </c>
      <c r="AK144" s="49">
        <v>45218</v>
      </c>
      <c r="AL144" s="42" t="s">
        <v>1256</v>
      </c>
      <c r="AM144" s="48" t="s">
        <v>708</v>
      </c>
      <c r="AN144" s="48" t="s">
        <v>708</v>
      </c>
      <c r="AO144" s="38"/>
      <c r="AP144" s="38"/>
      <c r="AQ144" s="38"/>
      <c r="AR144" s="38"/>
      <c r="AS144" s="38"/>
      <c r="AT144" s="51"/>
      <c r="AU144" s="52"/>
      <c r="AV144" s="53">
        <v>45291</v>
      </c>
      <c r="AW144" s="41" t="s">
        <v>56</v>
      </c>
      <c r="AX144" s="40" t="s">
        <v>1257</v>
      </c>
      <c r="AY144" s="54">
        <v>20235920009173</v>
      </c>
    </row>
    <row r="145" spans="2:51" s="37" customFormat="1" ht="26.25" x14ac:dyDescent="0.25">
      <c r="B145" s="38">
        <v>144</v>
      </c>
      <c r="C145" s="39">
        <v>2023</v>
      </c>
      <c r="D145" s="40" t="s">
        <v>1258</v>
      </c>
      <c r="E145" s="41" t="s">
        <v>199</v>
      </c>
      <c r="F145" s="40" t="s">
        <v>97</v>
      </c>
      <c r="G145" s="40" t="s">
        <v>98</v>
      </c>
      <c r="H145" s="41" t="s">
        <v>1259</v>
      </c>
      <c r="I145" s="25" t="s">
        <v>1260</v>
      </c>
      <c r="J145" s="42" t="s">
        <v>838</v>
      </c>
      <c r="K145" s="42" t="s">
        <v>1261</v>
      </c>
      <c r="L145" s="26">
        <v>1077974399</v>
      </c>
      <c r="M145" s="43" t="s">
        <v>1262</v>
      </c>
      <c r="N145" s="44" t="s">
        <v>1263</v>
      </c>
      <c r="O145" s="45">
        <f>61500000+11206667</f>
        <v>72706667</v>
      </c>
      <c r="P145" s="44">
        <v>44979</v>
      </c>
      <c r="Q145" s="43" t="s">
        <v>1264</v>
      </c>
      <c r="R145" s="46">
        <v>44980</v>
      </c>
      <c r="S145" s="45" t="s">
        <v>162</v>
      </c>
      <c r="T145" s="46">
        <v>44981</v>
      </c>
      <c r="U145" s="45">
        <v>30750000</v>
      </c>
      <c r="V145" s="43" t="s">
        <v>1265</v>
      </c>
      <c r="W145" s="44" t="s">
        <v>907</v>
      </c>
      <c r="X145" s="47">
        <f>30750000+11206667</f>
        <v>41956667</v>
      </c>
      <c r="Y145" s="46">
        <v>45207</v>
      </c>
      <c r="Z145" s="48" t="s">
        <v>109</v>
      </c>
      <c r="AA145" s="49"/>
      <c r="AB145" s="48"/>
      <c r="AC145" s="26"/>
      <c r="AD145" s="43"/>
      <c r="AE145" s="49"/>
      <c r="AF145" s="49">
        <v>45205</v>
      </c>
      <c r="AG145" s="45">
        <v>11206667</v>
      </c>
      <c r="AH145" s="50">
        <f>U145+AG145</f>
        <v>41956667</v>
      </c>
      <c r="AI145" s="43" t="s">
        <v>1264</v>
      </c>
      <c r="AJ145" s="49">
        <v>45210</v>
      </c>
      <c r="AK145" s="49">
        <v>45205</v>
      </c>
      <c r="AL145" s="42" t="s">
        <v>908</v>
      </c>
      <c r="AM145" s="43" t="s">
        <v>1264</v>
      </c>
      <c r="AN145" s="49">
        <v>45210</v>
      </c>
      <c r="AO145" s="38"/>
      <c r="AP145" s="38"/>
      <c r="AQ145" s="38"/>
      <c r="AR145" s="38"/>
      <c r="AS145" s="38"/>
      <c r="AT145" s="51"/>
      <c r="AU145" s="52"/>
      <c r="AV145" s="53">
        <v>45291</v>
      </c>
      <c r="AW145" s="41" t="s">
        <v>56</v>
      </c>
      <c r="AX145" s="40" t="s">
        <v>845</v>
      </c>
      <c r="AY145" s="54">
        <v>20235900000623</v>
      </c>
    </row>
    <row r="146" spans="2:51" s="37" customFormat="1" ht="26.25" x14ac:dyDescent="0.25">
      <c r="B146" s="38">
        <v>145</v>
      </c>
      <c r="C146" s="39">
        <v>2023</v>
      </c>
      <c r="D146" s="40" t="s">
        <v>1266</v>
      </c>
      <c r="E146" s="41" t="s">
        <v>155</v>
      </c>
      <c r="F146" s="40" t="s">
        <v>97</v>
      </c>
      <c r="G146" s="40" t="s">
        <v>98</v>
      </c>
      <c r="H146" s="41" t="s">
        <v>1267</v>
      </c>
      <c r="I146" s="25" t="s">
        <v>1268</v>
      </c>
      <c r="J146" s="42" t="s">
        <v>549</v>
      </c>
      <c r="K146" s="42" t="s">
        <v>1269</v>
      </c>
      <c r="L146" s="26">
        <v>52483298</v>
      </c>
      <c r="M146" s="43" t="s">
        <v>1270</v>
      </c>
      <c r="N146" s="44" t="s">
        <v>1271</v>
      </c>
      <c r="O146" s="45">
        <f>135600000+12354667</f>
        <v>147954667</v>
      </c>
      <c r="P146" s="44">
        <v>44981</v>
      </c>
      <c r="Q146" s="43" t="s">
        <v>1272</v>
      </c>
      <c r="R146" s="46">
        <v>44981</v>
      </c>
      <c r="S146" s="45" t="s">
        <v>162</v>
      </c>
      <c r="T146" s="46">
        <v>44981</v>
      </c>
      <c r="U146" s="45">
        <v>30750000</v>
      </c>
      <c r="V146" s="43" t="s">
        <v>1273</v>
      </c>
      <c r="W146" s="44" t="s">
        <v>1274</v>
      </c>
      <c r="X146" s="47">
        <f>33900000+12354667</f>
        <v>46254667</v>
      </c>
      <c r="Y146" s="46">
        <v>45207</v>
      </c>
      <c r="Z146" s="48" t="s">
        <v>109</v>
      </c>
      <c r="AA146" s="49"/>
      <c r="AB146" s="48"/>
      <c r="AC146" s="26"/>
      <c r="AD146" s="43"/>
      <c r="AE146" s="49"/>
      <c r="AF146" s="49">
        <v>45205</v>
      </c>
      <c r="AG146" s="45">
        <v>12354667</v>
      </c>
      <c r="AH146" s="50">
        <f>U146+AG146</f>
        <v>43104667</v>
      </c>
      <c r="AI146" s="43" t="s">
        <v>1272</v>
      </c>
      <c r="AJ146" s="49">
        <v>45218</v>
      </c>
      <c r="AK146" s="49">
        <v>45205</v>
      </c>
      <c r="AL146" s="42" t="s">
        <v>908</v>
      </c>
      <c r="AM146" s="43" t="s">
        <v>1272</v>
      </c>
      <c r="AN146" s="49">
        <v>45218</v>
      </c>
      <c r="AO146" s="38"/>
      <c r="AP146" s="38"/>
      <c r="AQ146" s="38"/>
      <c r="AR146" s="38"/>
      <c r="AS146" s="38"/>
      <c r="AT146" s="51"/>
      <c r="AU146" s="52"/>
      <c r="AV146" s="53">
        <v>45291</v>
      </c>
      <c r="AW146" s="41" t="s">
        <v>56</v>
      </c>
      <c r="AX146" s="40" t="s">
        <v>552</v>
      </c>
      <c r="AY146" s="54">
        <v>20235920002103</v>
      </c>
    </row>
    <row r="147" spans="2:51" s="37" customFormat="1" ht="17.25" customHeight="1" x14ac:dyDescent="0.25">
      <c r="B147" s="38">
        <v>146</v>
      </c>
      <c r="C147" s="39">
        <v>2023</v>
      </c>
      <c r="D147" s="40" t="s">
        <v>1275</v>
      </c>
      <c r="E147" s="41" t="s">
        <v>199</v>
      </c>
      <c r="F147" s="40" t="s">
        <v>97</v>
      </c>
      <c r="G147" s="40" t="s">
        <v>98</v>
      </c>
      <c r="H147" s="41" t="s">
        <v>1276</v>
      </c>
      <c r="I147" s="25" t="s">
        <v>569</v>
      </c>
      <c r="J147" s="42" t="s">
        <v>569</v>
      </c>
      <c r="K147" s="42" t="s">
        <v>1277</v>
      </c>
      <c r="L147" s="26">
        <v>53030997</v>
      </c>
      <c r="M147" s="43">
        <v>960</v>
      </c>
      <c r="N147" s="44">
        <v>44952</v>
      </c>
      <c r="O147" s="45">
        <v>30000000</v>
      </c>
      <c r="P147" s="43" t="s">
        <v>569</v>
      </c>
      <c r="Q147" s="43" t="s">
        <v>569</v>
      </c>
      <c r="R147" s="43" t="s">
        <v>569</v>
      </c>
      <c r="S147" s="43" t="s">
        <v>569</v>
      </c>
      <c r="T147" s="43" t="s">
        <v>569</v>
      </c>
      <c r="U147" s="43" t="s">
        <v>569</v>
      </c>
      <c r="V147" s="43" t="s">
        <v>569</v>
      </c>
      <c r="W147" s="44" t="s">
        <v>569</v>
      </c>
      <c r="X147" s="43" t="s">
        <v>569</v>
      </c>
      <c r="Y147" s="43" t="s">
        <v>569</v>
      </c>
      <c r="Z147" s="48" t="s">
        <v>120</v>
      </c>
      <c r="AA147" s="49" t="s">
        <v>121</v>
      </c>
      <c r="AB147" s="49" t="s">
        <v>121</v>
      </c>
      <c r="AC147" s="26" t="s">
        <v>121</v>
      </c>
      <c r="AD147" s="49" t="s">
        <v>121</v>
      </c>
      <c r="AE147" s="49" t="s">
        <v>121</v>
      </c>
      <c r="AF147" s="49" t="s">
        <v>121</v>
      </c>
      <c r="AG147" s="45" t="s">
        <v>121</v>
      </c>
      <c r="AH147" s="49" t="s">
        <v>121</v>
      </c>
      <c r="AI147" s="48" t="s">
        <v>121</v>
      </c>
      <c r="AJ147" s="49" t="s">
        <v>121</v>
      </c>
      <c r="AK147" s="49" t="s">
        <v>121</v>
      </c>
      <c r="AL147" s="42" t="s">
        <v>121</v>
      </c>
      <c r="AM147" s="48" t="s">
        <v>121</v>
      </c>
      <c r="AN147" s="48" t="s">
        <v>121</v>
      </c>
      <c r="AO147" s="49" t="s">
        <v>121</v>
      </c>
      <c r="AP147" s="49" t="s">
        <v>121</v>
      </c>
      <c r="AQ147" s="49" t="s">
        <v>121</v>
      </c>
      <c r="AR147" s="49" t="s">
        <v>121</v>
      </c>
      <c r="AS147" s="49" t="s">
        <v>121</v>
      </c>
      <c r="AT147" s="49" t="s">
        <v>121</v>
      </c>
      <c r="AU147" s="49" t="s">
        <v>121</v>
      </c>
      <c r="AV147" s="49" t="s">
        <v>121</v>
      </c>
      <c r="AW147" s="41" t="s">
        <v>569</v>
      </c>
      <c r="AX147" s="41" t="s">
        <v>569</v>
      </c>
      <c r="AY147" s="54" t="s">
        <v>569</v>
      </c>
    </row>
    <row r="148" spans="2:51" s="37" customFormat="1" ht="26.25" x14ac:dyDescent="0.25">
      <c r="B148" s="38">
        <v>147</v>
      </c>
      <c r="C148" s="39">
        <v>2023</v>
      </c>
      <c r="D148" s="40" t="s">
        <v>1278</v>
      </c>
      <c r="E148" s="41" t="s">
        <v>518</v>
      </c>
      <c r="F148" s="40" t="s">
        <v>97</v>
      </c>
      <c r="G148" s="40" t="s">
        <v>98</v>
      </c>
      <c r="H148" s="41" t="s">
        <v>1279</v>
      </c>
      <c r="I148" s="25" t="s">
        <v>1280</v>
      </c>
      <c r="J148" s="42" t="s">
        <v>1007</v>
      </c>
      <c r="K148" s="42" t="s">
        <v>1281</v>
      </c>
      <c r="L148" s="26">
        <v>1033710795</v>
      </c>
      <c r="M148" s="43" t="s">
        <v>1282</v>
      </c>
      <c r="N148" s="44" t="s">
        <v>904</v>
      </c>
      <c r="O148" s="45">
        <f>79500000+13956667</f>
        <v>93456667</v>
      </c>
      <c r="P148" s="44">
        <v>44981</v>
      </c>
      <c r="Q148" s="43" t="s">
        <v>1283</v>
      </c>
      <c r="R148" s="46">
        <v>44984</v>
      </c>
      <c r="S148" s="45" t="s">
        <v>162</v>
      </c>
      <c r="T148" s="46">
        <v>44984</v>
      </c>
      <c r="U148" s="45">
        <v>39750000</v>
      </c>
      <c r="V148" s="43" t="s">
        <v>1284</v>
      </c>
      <c r="W148" s="44" t="s">
        <v>1215</v>
      </c>
      <c r="X148" s="47">
        <f>39750000+13956667</f>
        <v>53706667</v>
      </c>
      <c r="Y148" s="46">
        <v>45210</v>
      </c>
      <c r="Z148" s="48" t="s">
        <v>109</v>
      </c>
      <c r="AA148" s="49"/>
      <c r="AB148" s="48"/>
      <c r="AC148" s="26"/>
      <c r="AD148" s="43"/>
      <c r="AE148" s="49"/>
      <c r="AF148" s="49">
        <v>45209</v>
      </c>
      <c r="AG148" s="45">
        <v>13956667</v>
      </c>
      <c r="AH148" s="50">
        <f>U148+AG148</f>
        <v>53706667</v>
      </c>
      <c r="AI148" s="43" t="s">
        <v>1283</v>
      </c>
      <c r="AJ148" s="49">
        <v>45212</v>
      </c>
      <c r="AK148" s="49">
        <v>45209</v>
      </c>
      <c r="AL148" s="42" t="s">
        <v>1216</v>
      </c>
      <c r="AM148" s="43" t="s">
        <v>1283</v>
      </c>
      <c r="AN148" s="49">
        <v>45212</v>
      </c>
      <c r="AO148" s="38"/>
      <c r="AP148" s="38"/>
      <c r="AQ148" s="38"/>
      <c r="AR148" s="38"/>
      <c r="AS148" s="38"/>
      <c r="AT148" s="51"/>
      <c r="AU148" s="52"/>
      <c r="AV148" s="53">
        <v>45291</v>
      </c>
      <c r="AW148" s="41" t="s">
        <v>56</v>
      </c>
      <c r="AX148" s="40" t="s">
        <v>226</v>
      </c>
      <c r="AY148" s="54">
        <v>20235900000593</v>
      </c>
    </row>
    <row r="149" spans="2:51" s="37" customFormat="1" ht="26.25" x14ac:dyDescent="0.25">
      <c r="B149" s="38">
        <v>148</v>
      </c>
      <c r="C149" s="39">
        <v>2023</v>
      </c>
      <c r="D149" s="40" t="s">
        <v>1285</v>
      </c>
      <c r="E149" s="41" t="s">
        <v>96</v>
      </c>
      <c r="F149" s="40" t="s">
        <v>97</v>
      </c>
      <c r="G149" s="40" t="s">
        <v>98</v>
      </c>
      <c r="H149" s="41" t="s">
        <v>1286</v>
      </c>
      <c r="I149" s="25" t="s">
        <v>1287</v>
      </c>
      <c r="J149" s="42" t="s">
        <v>1288</v>
      </c>
      <c r="K149" s="42" t="s">
        <v>1289</v>
      </c>
      <c r="L149" s="26">
        <v>52381922</v>
      </c>
      <c r="M149" s="43" t="s">
        <v>1290</v>
      </c>
      <c r="N149" s="44" t="s">
        <v>1212</v>
      </c>
      <c r="O149" s="45">
        <f>90000000+15000000</f>
        <v>105000000</v>
      </c>
      <c r="P149" s="44">
        <v>44981</v>
      </c>
      <c r="Q149" s="43" t="s">
        <v>1291</v>
      </c>
      <c r="R149" s="46">
        <v>44984</v>
      </c>
      <c r="S149" s="45" t="s">
        <v>162</v>
      </c>
      <c r="T149" s="46">
        <v>44986</v>
      </c>
      <c r="U149" s="45">
        <v>45000000</v>
      </c>
      <c r="V149" s="43" t="s">
        <v>1292</v>
      </c>
      <c r="W149" s="44" t="s">
        <v>1193</v>
      </c>
      <c r="X149" s="47">
        <f>45000000+15000000</f>
        <v>60000000</v>
      </c>
      <c r="Y149" s="46">
        <v>45214</v>
      </c>
      <c r="Z149" s="48" t="s">
        <v>109</v>
      </c>
      <c r="AA149" s="49"/>
      <c r="AB149" s="48"/>
      <c r="AC149" s="26"/>
      <c r="AD149" s="48"/>
      <c r="AE149" s="49"/>
      <c r="AF149" s="49">
        <v>45212</v>
      </c>
      <c r="AG149" s="45">
        <v>15000000</v>
      </c>
      <c r="AH149" s="50">
        <f>U149+AG149</f>
        <v>60000000</v>
      </c>
      <c r="AI149" s="48" t="s">
        <v>1291</v>
      </c>
      <c r="AJ149" s="49">
        <v>45219</v>
      </c>
      <c r="AK149" s="49">
        <v>45212</v>
      </c>
      <c r="AL149" s="42" t="s">
        <v>1293</v>
      </c>
      <c r="AM149" s="48" t="s">
        <v>1291</v>
      </c>
      <c r="AN149" s="49">
        <v>45219</v>
      </c>
      <c r="AO149" s="38"/>
      <c r="AP149" s="38"/>
      <c r="AQ149" s="38"/>
      <c r="AR149" s="38"/>
      <c r="AS149" s="38"/>
      <c r="AT149" s="51"/>
      <c r="AU149" s="52"/>
      <c r="AV149" s="53">
        <v>45291</v>
      </c>
      <c r="AW149" s="41" t="s">
        <v>56</v>
      </c>
      <c r="AX149" s="40" t="s">
        <v>337</v>
      </c>
      <c r="AY149" s="54">
        <v>20235920002633</v>
      </c>
    </row>
    <row r="150" spans="2:51" s="37" customFormat="1" ht="28.5" x14ac:dyDescent="0.25">
      <c r="B150" s="38">
        <v>149</v>
      </c>
      <c r="C150" s="39">
        <v>2023</v>
      </c>
      <c r="D150" s="40" t="s">
        <v>1294</v>
      </c>
      <c r="E150" s="41" t="s">
        <v>96</v>
      </c>
      <c r="F150" s="40" t="s">
        <v>97</v>
      </c>
      <c r="G150" s="40" t="s">
        <v>98</v>
      </c>
      <c r="H150" s="41" t="s">
        <v>1295</v>
      </c>
      <c r="I150" s="25" t="s">
        <v>1296</v>
      </c>
      <c r="J150" s="42" t="s">
        <v>1288</v>
      </c>
      <c r="K150" s="42" t="s">
        <v>1297</v>
      </c>
      <c r="L150" s="26">
        <v>1077871000</v>
      </c>
      <c r="M150" s="43" t="s">
        <v>1298</v>
      </c>
      <c r="N150" s="44" t="s">
        <v>1212</v>
      </c>
      <c r="O150" s="45">
        <f>90000000+14800000</f>
        <v>104800000</v>
      </c>
      <c r="P150" s="44">
        <v>44981</v>
      </c>
      <c r="Q150" s="43" t="s">
        <v>1299</v>
      </c>
      <c r="R150" s="46">
        <v>44985</v>
      </c>
      <c r="S150" s="45" t="s">
        <v>162</v>
      </c>
      <c r="T150" s="46">
        <v>44987</v>
      </c>
      <c r="U150" s="45">
        <v>45000000</v>
      </c>
      <c r="V150" s="43" t="s">
        <v>1300</v>
      </c>
      <c r="W150" s="44" t="s">
        <v>1301</v>
      </c>
      <c r="X150" s="47">
        <f>45000000+14800000</f>
        <v>59800000</v>
      </c>
      <c r="Y150" s="46">
        <v>45215</v>
      </c>
      <c r="Z150" s="48" t="s">
        <v>109</v>
      </c>
      <c r="AA150" s="49"/>
      <c r="AB150" s="48"/>
      <c r="AC150" s="26"/>
      <c r="AD150" s="48"/>
      <c r="AE150" s="49"/>
      <c r="AF150" s="49">
        <v>45203</v>
      </c>
      <c r="AG150" s="45">
        <v>14800000</v>
      </c>
      <c r="AH150" s="50">
        <f>U150+AG150</f>
        <v>59800000</v>
      </c>
      <c r="AI150" s="48" t="s">
        <v>1299</v>
      </c>
      <c r="AJ150" s="49">
        <v>45239</v>
      </c>
      <c r="AK150" s="49">
        <v>45203</v>
      </c>
      <c r="AL150" s="42" t="s">
        <v>1195</v>
      </c>
      <c r="AM150" s="48" t="s">
        <v>1299</v>
      </c>
      <c r="AN150" s="49">
        <v>45239</v>
      </c>
      <c r="AO150" s="38"/>
      <c r="AP150" s="38"/>
      <c r="AQ150" s="38"/>
      <c r="AR150" s="38"/>
      <c r="AS150" s="38"/>
      <c r="AT150" s="51"/>
      <c r="AU150" s="52"/>
      <c r="AV150" s="53">
        <v>45291</v>
      </c>
      <c r="AW150" s="41" t="s">
        <v>56</v>
      </c>
      <c r="AX150" s="40" t="s">
        <v>337</v>
      </c>
      <c r="AY150" s="54">
        <v>20235920002633</v>
      </c>
    </row>
    <row r="151" spans="2:51" s="37" customFormat="1" ht="26.25" x14ac:dyDescent="0.25">
      <c r="B151" s="38">
        <v>150</v>
      </c>
      <c r="C151" s="39">
        <v>2023</v>
      </c>
      <c r="D151" s="40" t="s">
        <v>1302</v>
      </c>
      <c r="E151" s="41" t="s">
        <v>199</v>
      </c>
      <c r="F151" s="40" t="s">
        <v>97</v>
      </c>
      <c r="G151" s="40" t="s">
        <v>98</v>
      </c>
      <c r="H151" s="41" t="s">
        <v>1303</v>
      </c>
      <c r="I151" s="25" t="s">
        <v>1304</v>
      </c>
      <c r="J151" s="42" t="s">
        <v>1305</v>
      </c>
      <c r="K151" s="42" t="s">
        <v>1306</v>
      </c>
      <c r="L151" s="26">
        <v>1032425320</v>
      </c>
      <c r="M151" s="43" t="s">
        <v>1307</v>
      </c>
      <c r="N151" s="44" t="s">
        <v>1308</v>
      </c>
      <c r="O151" s="45">
        <f>82500000+13383333</f>
        <v>95883333</v>
      </c>
      <c r="P151" s="44">
        <v>44986</v>
      </c>
      <c r="Q151" s="43">
        <v>46101090162</v>
      </c>
      <c r="R151" s="46">
        <v>44987</v>
      </c>
      <c r="S151" s="45" t="s">
        <v>162</v>
      </c>
      <c r="T151" s="46">
        <v>44988</v>
      </c>
      <c r="U151" s="45">
        <v>41250000</v>
      </c>
      <c r="V151" s="43" t="s">
        <v>1309</v>
      </c>
      <c r="W151" s="44" t="s">
        <v>1310</v>
      </c>
      <c r="X151" s="47">
        <f>41250000+13383333</f>
        <v>54633333</v>
      </c>
      <c r="Y151" s="46">
        <v>45216</v>
      </c>
      <c r="Z151" s="48" t="s">
        <v>109</v>
      </c>
      <c r="AA151" s="49"/>
      <c r="AB151" s="48"/>
      <c r="AC151" s="26"/>
      <c r="AD151" s="48"/>
      <c r="AE151" s="49"/>
      <c r="AF151" s="49">
        <v>45216</v>
      </c>
      <c r="AG151" s="45">
        <v>13383333</v>
      </c>
      <c r="AH151" s="50">
        <f>U151+AG151</f>
        <v>54633333</v>
      </c>
      <c r="AI151" s="48">
        <v>46101090162</v>
      </c>
      <c r="AJ151" s="49">
        <v>45219</v>
      </c>
      <c r="AK151" s="49">
        <v>45216</v>
      </c>
      <c r="AL151" s="42" t="s">
        <v>1311</v>
      </c>
      <c r="AM151" s="48">
        <v>46101090162</v>
      </c>
      <c r="AN151" s="49">
        <v>45219</v>
      </c>
      <c r="AO151" s="38"/>
      <c r="AP151" s="38"/>
      <c r="AQ151" s="38"/>
      <c r="AR151" s="38"/>
      <c r="AS151" s="38"/>
      <c r="AT151" s="51"/>
      <c r="AU151" s="52"/>
      <c r="AV151" s="53">
        <v>45291</v>
      </c>
      <c r="AW151" s="41" t="s">
        <v>56</v>
      </c>
      <c r="AX151" s="40" t="s">
        <v>309</v>
      </c>
      <c r="AY151" s="54">
        <v>20235920004783</v>
      </c>
    </row>
    <row r="152" spans="2:51" s="37" customFormat="1" ht="17.25" customHeight="1" x14ac:dyDescent="0.25">
      <c r="B152" s="38">
        <v>151</v>
      </c>
      <c r="C152" s="39">
        <v>2023</v>
      </c>
      <c r="D152" s="40" t="s">
        <v>1312</v>
      </c>
      <c r="E152" s="41" t="s">
        <v>199</v>
      </c>
      <c r="F152" s="40" t="s">
        <v>97</v>
      </c>
      <c r="G152" s="40" t="s">
        <v>98</v>
      </c>
      <c r="H152" s="41" t="s">
        <v>1313</v>
      </c>
      <c r="I152" s="25" t="s">
        <v>569</v>
      </c>
      <c r="J152" s="42" t="s">
        <v>569</v>
      </c>
      <c r="K152" s="42" t="s">
        <v>1314</v>
      </c>
      <c r="L152" s="26">
        <v>1016034743</v>
      </c>
      <c r="M152" s="43">
        <v>960</v>
      </c>
      <c r="N152" s="44">
        <v>44952</v>
      </c>
      <c r="O152" s="45">
        <v>30000000</v>
      </c>
      <c r="P152" s="43" t="s">
        <v>569</v>
      </c>
      <c r="Q152" s="43" t="s">
        <v>569</v>
      </c>
      <c r="R152" s="43" t="s">
        <v>569</v>
      </c>
      <c r="S152" s="43" t="s">
        <v>569</v>
      </c>
      <c r="T152" s="43" t="s">
        <v>569</v>
      </c>
      <c r="U152" s="43" t="s">
        <v>569</v>
      </c>
      <c r="V152" s="43" t="s">
        <v>569</v>
      </c>
      <c r="W152" s="44" t="s">
        <v>569</v>
      </c>
      <c r="X152" s="43" t="s">
        <v>569</v>
      </c>
      <c r="Y152" s="43" t="s">
        <v>569</v>
      </c>
      <c r="Z152" s="48" t="s">
        <v>120</v>
      </c>
      <c r="AA152" s="49" t="s">
        <v>121</v>
      </c>
      <c r="AB152" s="49" t="s">
        <v>121</v>
      </c>
      <c r="AC152" s="26" t="s">
        <v>121</v>
      </c>
      <c r="AD152" s="49" t="s">
        <v>121</v>
      </c>
      <c r="AE152" s="49" t="s">
        <v>121</v>
      </c>
      <c r="AF152" s="49" t="s">
        <v>121</v>
      </c>
      <c r="AG152" s="45" t="s">
        <v>121</v>
      </c>
      <c r="AH152" s="49" t="s">
        <v>121</v>
      </c>
      <c r="AI152" s="48" t="s">
        <v>121</v>
      </c>
      <c r="AJ152" s="49" t="s">
        <v>121</v>
      </c>
      <c r="AK152" s="49" t="s">
        <v>121</v>
      </c>
      <c r="AL152" s="42" t="s">
        <v>121</v>
      </c>
      <c r="AM152" s="48" t="s">
        <v>121</v>
      </c>
      <c r="AN152" s="48" t="s">
        <v>121</v>
      </c>
      <c r="AO152" s="49" t="s">
        <v>121</v>
      </c>
      <c r="AP152" s="49" t="s">
        <v>121</v>
      </c>
      <c r="AQ152" s="49" t="s">
        <v>121</v>
      </c>
      <c r="AR152" s="49" t="s">
        <v>121</v>
      </c>
      <c r="AS152" s="49" t="s">
        <v>121</v>
      </c>
      <c r="AT152" s="49" t="s">
        <v>121</v>
      </c>
      <c r="AU152" s="49" t="s">
        <v>121</v>
      </c>
      <c r="AV152" s="49" t="s">
        <v>121</v>
      </c>
      <c r="AW152" s="41" t="s">
        <v>569</v>
      </c>
      <c r="AX152" s="41" t="s">
        <v>569</v>
      </c>
      <c r="AY152" s="54" t="s">
        <v>569</v>
      </c>
    </row>
    <row r="153" spans="2:51" s="37" customFormat="1" ht="26.25" x14ac:dyDescent="0.25">
      <c r="B153" s="38">
        <v>152</v>
      </c>
      <c r="C153" s="39">
        <v>2023</v>
      </c>
      <c r="D153" s="40" t="s">
        <v>1315</v>
      </c>
      <c r="E153" s="41" t="s">
        <v>324</v>
      </c>
      <c r="F153" s="40" t="s">
        <v>97</v>
      </c>
      <c r="G153" s="40" t="s">
        <v>98</v>
      </c>
      <c r="H153" s="41" t="s">
        <v>1316</v>
      </c>
      <c r="I153" s="25" t="s">
        <v>1317</v>
      </c>
      <c r="J153" s="42" t="s">
        <v>802</v>
      </c>
      <c r="K153" s="42" t="s">
        <v>1318</v>
      </c>
      <c r="L153" s="26">
        <v>52783302</v>
      </c>
      <c r="M153" s="43" t="s">
        <v>1319</v>
      </c>
      <c r="N153" s="44" t="s">
        <v>1320</v>
      </c>
      <c r="O153" s="45">
        <f>405000000+15800000</f>
        <v>420800000</v>
      </c>
      <c r="P153" s="44">
        <v>44981</v>
      </c>
      <c r="Q153" s="43" t="s">
        <v>1321</v>
      </c>
      <c r="R153" s="46">
        <v>44981</v>
      </c>
      <c r="S153" s="45" t="s">
        <v>162</v>
      </c>
      <c r="T153" s="46">
        <v>44984</v>
      </c>
      <c r="U153" s="45">
        <v>45000000</v>
      </c>
      <c r="V153" s="43" t="s">
        <v>1322</v>
      </c>
      <c r="W153" s="44" t="s">
        <v>1215</v>
      </c>
      <c r="X153" s="47">
        <f>45000000+15800000</f>
        <v>60800000</v>
      </c>
      <c r="Y153" s="46">
        <v>45210</v>
      </c>
      <c r="Z153" s="48" t="s">
        <v>109</v>
      </c>
      <c r="AA153" s="49">
        <v>45037</v>
      </c>
      <c r="AB153" s="48" t="s">
        <v>1323</v>
      </c>
      <c r="AC153" s="26">
        <v>39745121</v>
      </c>
      <c r="AD153" s="48" t="s">
        <v>1324</v>
      </c>
      <c r="AE153" s="49">
        <v>45041</v>
      </c>
      <c r="AF153" s="49">
        <v>45210</v>
      </c>
      <c r="AG153" s="45">
        <v>15800000</v>
      </c>
      <c r="AH153" s="50">
        <f>U153+AG153</f>
        <v>60800000</v>
      </c>
      <c r="AI153" s="48" t="s">
        <v>1324</v>
      </c>
      <c r="AJ153" s="49">
        <v>45212</v>
      </c>
      <c r="AK153" s="49">
        <v>45210</v>
      </c>
      <c r="AL153" s="42" t="s">
        <v>1216</v>
      </c>
      <c r="AM153" s="48" t="s">
        <v>1324</v>
      </c>
      <c r="AN153" s="49">
        <v>45212</v>
      </c>
      <c r="AO153" s="38"/>
      <c r="AP153" s="38"/>
      <c r="AQ153" s="38"/>
      <c r="AR153" s="38"/>
      <c r="AS153" s="38"/>
      <c r="AT153" s="51"/>
      <c r="AU153" s="52"/>
      <c r="AV153" s="53">
        <v>45291</v>
      </c>
      <c r="AW153" s="41" t="s">
        <v>137</v>
      </c>
      <c r="AX153" s="40" t="s">
        <v>145</v>
      </c>
      <c r="AY153" s="54">
        <v>20235920002283</v>
      </c>
    </row>
    <row r="154" spans="2:51" s="37" customFormat="1" ht="26.25" x14ac:dyDescent="0.25">
      <c r="B154" s="38">
        <v>153</v>
      </c>
      <c r="C154" s="39">
        <v>2023</v>
      </c>
      <c r="D154" s="40" t="s">
        <v>1325</v>
      </c>
      <c r="E154" s="41" t="s">
        <v>96</v>
      </c>
      <c r="F154" s="40" t="s">
        <v>97</v>
      </c>
      <c r="G154" s="40" t="s">
        <v>98</v>
      </c>
      <c r="H154" s="41" t="s">
        <v>1326</v>
      </c>
      <c r="I154" s="25" t="s">
        <v>1327</v>
      </c>
      <c r="J154" s="42" t="s">
        <v>1328</v>
      </c>
      <c r="K154" s="42" t="s">
        <v>1329</v>
      </c>
      <c r="L154" s="26">
        <v>52502836</v>
      </c>
      <c r="M154" s="43" t="s">
        <v>1330</v>
      </c>
      <c r="N154" s="44" t="s">
        <v>1331</v>
      </c>
      <c r="O154" s="45">
        <f>56250000+6166667</f>
        <v>62416667</v>
      </c>
      <c r="P154" s="44">
        <v>44981</v>
      </c>
      <c r="Q154" s="43" t="s">
        <v>1332</v>
      </c>
      <c r="R154" s="46">
        <v>44987</v>
      </c>
      <c r="S154" s="45" t="s">
        <v>162</v>
      </c>
      <c r="T154" s="46">
        <v>44987</v>
      </c>
      <c r="U154" s="45">
        <v>18750000</v>
      </c>
      <c r="V154" s="43" t="s">
        <v>1333</v>
      </c>
      <c r="W154" s="44" t="s">
        <v>1334</v>
      </c>
      <c r="X154" s="47">
        <f>18750000+6166667</f>
        <v>24916667</v>
      </c>
      <c r="Y154" s="46">
        <v>45215</v>
      </c>
      <c r="Z154" s="48" t="s">
        <v>109</v>
      </c>
      <c r="AA154" s="49"/>
      <c r="AB154" s="48"/>
      <c r="AC154" s="26"/>
      <c r="AD154" s="48"/>
      <c r="AE154" s="49"/>
      <c r="AF154" s="49">
        <v>45208</v>
      </c>
      <c r="AG154" s="45">
        <v>6166667</v>
      </c>
      <c r="AH154" s="50">
        <f>U154+AG154</f>
        <v>24916667</v>
      </c>
      <c r="AI154" s="48" t="s">
        <v>1335</v>
      </c>
      <c r="AJ154" s="49">
        <v>45212</v>
      </c>
      <c r="AK154" s="49">
        <v>45208</v>
      </c>
      <c r="AL154" s="42" t="s">
        <v>1195</v>
      </c>
      <c r="AM154" s="48" t="s">
        <v>1335</v>
      </c>
      <c r="AN154" s="49">
        <v>45212</v>
      </c>
      <c r="AO154" s="38"/>
      <c r="AP154" s="38"/>
      <c r="AQ154" s="38"/>
      <c r="AR154" s="38"/>
      <c r="AS154" s="38"/>
      <c r="AT154" s="51"/>
      <c r="AU154" s="52"/>
      <c r="AV154" s="53">
        <v>45291</v>
      </c>
      <c r="AW154" s="41" t="s">
        <v>56</v>
      </c>
      <c r="AX154" s="40" t="s">
        <v>145</v>
      </c>
      <c r="AY154" s="54">
        <v>20235920003733</v>
      </c>
    </row>
    <row r="155" spans="2:51" s="37" customFormat="1" ht="15" x14ac:dyDescent="0.25">
      <c r="B155" s="38">
        <v>154</v>
      </c>
      <c r="C155" s="39">
        <v>2023</v>
      </c>
      <c r="D155" s="40" t="s">
        <v>1336</v>
      </c>
      <c r="E155" s="41" t="s">
        <v>96</v>
      </c>
      <c r="F155" s="40" t="s">
        <v>97</v>
      </c>
      <c r="G155" s="40" t="s">
        <v>98</v>
      </c>
      <c r="H155" s="41" t="s">
        <v>1337</v>
      </c>
      <c r="I155" s="25" t="s">
        <v>1338</v>
      </c>
      <c r="J155" s="42" t="s">
        <v>509</v>
      </c>
      <c r="K155" s="42" t="s">
        <v>1339</v>
      </c>
      <c r="L155" s="26">
        <v>1136880515</v>
      </c>
      <c r="M155" s="43">
        <v>1030</v>
      </c>
      <c r="N155" s="44">
        <v>44973</v>
      </c>
      <c r="O155" s="45">
        <v>108000000</v>
      </c>
      <c r="P155" s="44">
        <v>44985</v>
      </c>
      <c r="Q155" s="43" t="s">
        <v>1340</v>
      </c>
      <c r="R155" s="46">
        <v>44991</v>
      </c>
      <c r="S155" s="45" t="s">
        <v>344</v>
      </c>
      <c r="T155" s="46">
        <v>44992</v>
      </c>
      <c r="U155" s="45">
        <v>10800000</v>
      </c>
      <c r="V155" s="43">
        <v>1017</v>
      </c>
      <c r="W155" s="44">
        <v>44986</v>
      </c>
      <c r="X155" s="47">
        <v>10800000</v>
      </c>
      <c r="Y155" s="46">
        <v>45113</v>
      </c>
      <c r="Z155" s="48" t="s">
        <v>109</v>
      </c>
      <c r="AA155" s="49" t="s">
        <v>121</v>
      </c>
      <c r="AB155" s="49" t="s">
        <v>121</v>
      </c>
      <c r="AC155" s="26" t="s">
        <v>121</v>
      </c>
      <c r="AD155" s="49" t="s">
        <v>121</v>
      </c>
      <c r="AE155" s="49" t="s">
        <v>121</v>
      </c>
      <c r="AF155" s="48" t="s">
        <v>121</v>
      </c>
      <c r="AG155" s="48" t="s">
        <v>121</v>
      </c>
      <c r="AH155" s="48" t="s">
        <v>121</v>
      </c>
      <c r="AI155" s="48" t="s">
        <v>121</v>
      </c>
      <c r="AJ155" s="48" t="s">
        <v>121</v>
      </c>
      <c r="AK155" s="48" t="s">
        <v>121</v>
      </c>
      <c r="AL155" s="42" t="s">
        <v>121</v>
      </c>
      <c r="AM155" s="48" t="s">
        <v>121</v>
      </c>
      <c r="AN155" s="48" t="s">
        <v>121</v>
      </c>
      <c r="AO155" s="49" t="s">
        <v>121</v>
      </c>
      <c r="AP155" s="49" t="s">
        <v>121</v>
      </c>
      <c r="AQ155" s="49" t="s">
        <v>121</v>
      </c>
      <c r="AR155" s="49" t="s">
        <v>121</v>
      </c>
      <c r="AS155" s="49" t="s">
        <v>121</v>
      </c>
      <c r="AT155" s="49" t="s">
        <v>121</v>
      </c>
      <c r="AU155" s="49" t="s">
        <v>121</v>
      </c>
      <c r="AV155" s="53">
        <v>45058</v>
      </c>
      <c r="AW155" s="40" t="s">
        <v>152</v>
      </c>
      <c r="AX155" s="40" t="s">
        <v>417</v>
      </c>
      <c r="AY155" s="54">
        <v>20235920003763</v>
      </c>
    </row>
    <row r="156" spans="2:51" s="37" customFormat="1" ht="17.25" customHeight="1" x14ac:dyDescent="0.25">
      <c r="B156" s="38">
        <v>155</v>
      </c>
      <c r="C156" s="39">
        <v>2023</v>
      </c>
      <c r="D156" s="40" t="s">
        <v>1341</v>
      </c>
      <c r="E156" s="41" t="s">
        <v>96</v>
      </c>
      <c r="F156" s="40" t="s">
        <v>97</v>
      </c>
      <c r="G156" s="40" t="s">
        <v>98</v>
      </c>
      <c r="H156" s="41" t="s">
        <v>1342</v>
      </c>
      <c r="I156" s="25" t="s">
        <v>569</v>
      </c>
      <c r="J156" s="42" t="s">
        <v>569</v>
      </c>
      <c r="K156" s="42" t="s">
        <v>1343</v>
      </c>
      <c r="L156" s="26">
        <v>80256909</v>
      </c>
      <c r="M156" s="43">
        <v>956</v>
      </c>
      <c r="N156" s="44">
        <v>44952</v>
      </c>
      <c r="O156" s="45">
        <v>30400000</v>
      </c>
      <c r="P156" s="43" t="s">
        <v>569</v>
      </c>
      <c r="Q156" s="43" t="s">
        <v>569</v>
      </c>
      <c r="R156" s="43" t="s">
        <v>569</v>
      </c>
      <c r="S156" s="43" t="s">
        <v>569</v>
      </c>
      <c r="T156" s="43" t="s">
        <v>569</v>
      </c>
      <c r="U156" s="43" t="s">
        <v>569</v>
      </c>
      <c r="V156" s="43" t="s">
        <v>569</v>
      </c>
      <c r="W156" s="44" t="s">
        <v>569</v>
      </c>
      <c r="X156" s="43" t="s">
        <v>569</v>
      </c>
      <c r="Y156" s="43" t="s">
        <v>569</v>
      </c>
      <c r="Z156" s="48" t="s">
        <v>120</v>
      </c>
      <c r="AA156" s="49" t="s">
        <v>121</v>
      </c>
      <c r="AB156" s="49" t="s">
        <v>121</v>
      </c>
      <c r="AC156" s="26" t="s">
        <v>121</v>
      </c>
      <c r="AD156" s="49" t="s">
        <v>121</v>
      </c>
      <c r="AE156" s="49" t="s">
        <v>121</v>
      </c>
      <c r="AF156" s="49" t="s">
        <v>121</v>
      </c>
      <c r="AG156" s="45" t="s">
        <v>121</v>
      </c>
      <c r="AH156" s="49" t="s">
        <v>121</v>
      </c>
      <c r="AI156" s="48" t="s">
        <v>121</v>
      </c>
      <c r="AJ156" s="49" t="s">
        <v>121</v>
      </c>
      <c r="AK156" s="49" t="s">
        <v>121</v>
      </c>
      <c r="AL156" s="42" t="s">
        <v>121</v>
      </c>
      <c r="AM156" s="48" t="s">
        <v>121</v>
      </c>
      <c r="AN156" s="48" t="s">
        <v>121</v>
      </c>
      <c r="AO156" s="49" t="s">
        <v>121</v>
      </c>
      <c r="AP156" s="49" t="s">
        <v>121</v>
      </c>
      <c r="AQ156" s="49" t="s">
        <v>121</v>
      </c>
      <c r="AR156" s="49" t="s">
        <v>121</v>
      </c>
      <c r="AS156" s="49" t="s">
        <v>121</v>
      </c>
      <c r="AT156" s="49" t="s">
        <v>121</v>
      </c>
      <c r="AU156" s="49" t="s">
        <v>121</v>
      </c>
      <c r="AV156" s="49" t="s">
        <v>121</v>
      </c>
      <c r="AW156" s="41" t="s">
        <v>569</v>
      </c>
      <c r="AX156" s="41" t="s">
        <v>569</v>
      </c>
      <c r="AY156" s="54" t="s">
        <v>569</v>
      </c>
    </row>
    <row r="157" spans="2:51" s="37" customFormat="1" ht="26.25" x14ac:dyDescent="0.25">
      <c r="B157" s="38">
        <v>156</v>
      </c>
      <c r="C157" s="39">
        <v>2023</v>
      </c>
      <c r="D157" s="40" t="s">
        <v>1344</v>
      </c>
      <c r="E157" s="41" t="s">
        <v>199</v>
      </c>
      <c r="F157" s="40" t="s">
        <v>97</v>
      </c>
      <c r="G157" s="40" t="s">
        <v>98</v>
      </c>
      <c r="H157" s="41" t="s">
        <v>1345</v>
      </c>
      <c r="I157" s="25" t="s">
        <v>1346</v>
      </c>
      <c r="J157" s="42" t="s">
        <v>1347</v>
      </c>
      <c r="K157" s="42" t="s">
        <v>1348</v>
      </c>
      <c r="L157" s="26">
        <v>79910057</v>
      </c>
      <c r="M157" s="43" t="s">
        <v>1349</v>
      </c>
      <c r="N157" s="44" t="s">
        <v>1212</v>
      </c>
      <c r="O157" s="45">
        <f>168750000+6250000</f>
        <v>175000000</v>
      </c>
      <c r="P157" s="44">
        <v>44981</v>
      </c>
      <c r="Q157" s="43" t="s">
        <v>1350</v>
      </c>
      <c r="R157" s="46">
        <v>44985</v>
      </c>
      <c r="S157" s="45" t="s">
        <v>162</v>
      </c>
      <c r="T157" s="46">
        <v>44986</v>
      </c>
      <c r="U157" s="45">
        <v>18750000</v>
      </c>
      <c r="V157" s="43" t="s">
        <v>1351</v>
      </c>
      <c r="W157" s="44" t="s">
        <v>1193</v>
      </c>
      <c r="X157" s="47">
        <f>18750000+6250000</f>
        <v>25000000</v>
      </c>
      <c r="Y157" s="46">
        <v>45214</v>
      </c>
      <c r="Z157" s="48" t="s">
        <v>109</v>
      </c>
      <c r="AA157" s="49"/>
      <c r="AB157" s="48"/>
      <c r="AC157" s="26"/>
      <c r="AD157" s="48"/>
      <c r="AE157" s="49"/>
      <c r="AF157" s="49">
        <v>45212</v>
      </c>
      <c r="AG157" s="45">
        <v>6250000</v>
      </c>
      <c r="AH157" s="50">
        <f>U157+AG157</f>
        <v>25000000</v>
      </c>
      <c r="AI157" s="48" t="s">
        <v>1352</v>
      </c>
      <c r="AJ157" s="49">
        <v>45219</v>
      </c>
      <c r="AK157" s="49">
        <v>45212</v>
      </c>
      <c r="AL157" s="42" t="s">
        <v>1293</v>
      </c>
      <c r="AM157" s="48" t="s">
        <v>1352</v>
      </c>
      <c r="AN157" s="49">
        <v>45219</v>
      </c>
      <c r="AO157" s="38"/>
      <c r="AP157" s="38"/>
      <c r="AQ157" s="38"/>
      <c r="AR157" s="38"/>
      <c r="AS157" s="38"/>
      <c r="AT157" s="51"/>
      <c r="AU157" s="52"/>
      <c r="AV157" s="53">
        <v>45291</v>
      </c>
      <c r="AW157" s="41" t="s">
        <v>56</v>
      </c>
      <c r="AX157" s="40" t="s">
        <v>845</v>
      </c>
      <c r="AY157" s="54">
        <v>20235920003323</v>
      </c>
    </row>
    <row r="158" spans="2:51" s="37" customFormat="1" ht="26.25" x14ac:dyDescent="0.25">
      <c r="B158" s="38">
        <v>157</v>
      </c>
      <c r="C158" s="39">
        <v>2023</v>
      </c>
      <c r="D158" s="40" t="s">
        <v>1353</v>
      </c>
      <c r="E158" s="41" t="s">
        <v>199</v>
      </c>
      <c r="F158" s="40" t="s">
        <v>97</v>
      </c>
      <c r="G158" s="40" t="s">
        <v>98</v>
      </c>
      <c r="H158" s="41" t="s">
        <v>1354</v>
      </c>
      <c r="I158" s="25" t="s">
        <v>1355</v>
      </c>
      <c r="J158" s="42" t="s">
        <v>1347</v>
      </c>
      <c r="K158" s="42" t="s">
        <v>1356</v>
      </c>
      <c r="L158" s="26">
        <v>39546392</v>
      </c>
      <c r="M158" s="43" t="s">
        <v>1357</v>
      </c>
      <c r="N158" s="44" t="s">
        <v>1212</v>
      </c>
      <c r="O158" s="45">
        <f>168750000+6250000</f>
        <v>175000000</v>
      </c>
      <c r="P158" s="44">
        <v>44984</v>
      </c>
      <c r="Q158" s="43" t="s">
        <v>1358</v>
      </c>
      <c r="R158" s="46">
        <v>44986</v>
      </c>
      <c r="S158" s="45" t="s">
        <v>162</v>
      </c>
      <c r="T158" s="46">
        <v>44986</v>
      </c>
      <c r="U158" s="45">
        <v>18750000</v>
      </c>
      <c r="V158" s="43" t="s">
        <v>1359</v>
      </c>
      <c r="W158" s="44" t="s">
        <v>1360</v>
      </c>
      <c r="X158" s="47">
        <f>18750000+6250000</f>
        <v>25000000</v>
      </c>
      <c r="Y158" s="46">
        <v>45214</v>
      </c>
      <c r="Z158" s="48" t="s">
        <v>109</v>
      </c>
      <c r="AA158" s="49"/>
      <c r="AB158" s="48"/>
      <c r="AC158" s="26"/>
      <c r="AD158" s="48"/>
      <c r="AE158" s="49"/>
      <c r="AF158" s="49">
        <v>45211</v>
      </c>
      <c r="AG158" s="45">
        <v>6250000</v>
      </c>
      <c r="AH158" s="50">
        <f>U158+AG158</f>
        <v>25000000</v>
      </c>
      <c r="AI158" s="48" t="s">
        <v>1361</v>
      </c>
      <c r="AJ158" s="49">
        <v>45216</v>
      </c>
      <c r="AK158" s="49">
        <v>45211</v>
      </c>
      <c r="AL158" s="42" t="s">
        <v>1293</v>
      </c>
      <c r="AM158" s="48" t="s">
        <v>1361</v>
      </c>
      <c r="AN158" s="49">
        <v>45216</v>
      </c>
      <c r="AO158" s="38"/>
      <c r="AP158" s="38"/>
      <c r="AQ158" s="38"/>
      <c r="AR158" s="38"/>
      <c r="AS158" s="38"/>
      <c r="AT158" s="51"/>
      <c r="AU158" s="52"/>
      <c r="AV158" s="53">
        <v>45289</v>
      </c>
      <c r="AW158" s="41" t="s">
        <v>56</v>
      </c>
      <c r="AX158" s="40" t="s">
        <v>845</v>
      </c>
      <c r="AY158" s="54">
        <v>20235920003323</v>
      </c>
    </row>
    <row r="159" spans="2:51" s="37" customFormat="1" ht="26.25" x14ac:dyDescent="0.25">
      <c r="B159" s="38">
        <v>158</v>
      </c>
      <c r="C159" s="39">
        <v>2023</v>
      </c>
      <c r="D159" s="40" t="s">
        <v>1362</v>
      </c>
      <c r="E159" s="41" t="s">
        <v>153</v>
      </c>
      <c r="F159" s="40" t="s">
        <v>97</v>
      </c>
      <c r="G159" s="40" t="s">
        <v>98</v>
      </c>
      <c r="H159" s="41" t="s">
        <v>1363</v>
      </c>
      <c r="I159" s="25" t="s">
        <v>1364</v>
      </c>
      <c r="J159" s="42" t="s">
        <v>1365</v>
      </c>
      <c r="K159" s="42" t="s">
        <v>1366</v>
      </c>
      <c r="L159" s="26">
        <v>1015999131</v>
      </c>
      <c r="M159" s="43" t="s">
        <v>1367</v>
      </c>
      <c r="N159" s="44" t="s">
        <v>1368</v>
      </c>
      <c r="O159" s="45">
        <f>202500000+7400000</f>
        <v>209900000</v>
      </c>
      <c r="P159" s="44">
        <v>44985</v>
      </c>
      <c r="Q159" s="43" t="s">
        <v>1369</v>
      </c>
      <c r="R159" s="46">
        <v>44987</v>
      </c>
      <c r="S159" s="45" t="s">
        <v>162</v>
      </c>
      <c r="T159" s="46">
        <v>44987</v>
      </c>
      <c r="U159" s="45">
        <v>22500000</v>
      </c>
      <c r="V159" s="43" t="s">
        <v>1370</v>
      </c>
      <c r="W159" s="44" t="s">
        <v>1193</v>
      </c>
      <c r="X159" s="47">
        <f>22500000+7400000</f>
        <v>29900000</v>
      </c>
      <c r="Y159" s="46">
        <v>45215</v>
      </c>
      <c r="Z159" s="48" t="s">
        <v>109</v>
      </c>
      <c r="AA159" s="49"/>
      <c r="AB159" s="48"/>
      <c r="AC159" s="26"/>
      <c r="AD159" s="48"/>
      <c r="AE159" s="49"/>
      <c r="AF159" s="49">
        <v>45212</v>
      </c>
      <c r="AG159" s="45">
        <v>7400000</v>
      </c>
      <c r="AH159" s="50">
        <f>U159+AG159</f>
        <v>29900000</v>
      </c>
      <c r="AI159" s="48" t="s">
        <v>1369</v>
      </c>
      <c r="AJ159" s="49">
        <v>45219</v>
      </c>
      <c r="AK159" s="49">
        <v>45212</v>
      </c>
      <c r="AL159" s="42" t="s">
        <v>1195</v>
      </c>
      <c r="AM159" s="48" t="s">
        <v>1369</v>
      </c>
      <c r="AN159" s="49">
        <v>45219</v>
      </c>
      <c r="AO159" s="38"/>
      <c r="AP159" s="38"/>
      <c r="AQ159" s="38"/>
      <c r="AR159" s="38"/>
      <c r="AS159" s="38"/>
      <c r="AT159" s="51"/>
      <c r="AU159" s="52"/>
      <c r="AV159" s="53">
        <v>45291</v>
      </c>
      <c r="AW159" s="41" t="s">
        <v>56</v>
      </c>
      <c r="AX159" s="40" t="s">
        <v>493</v>
      </c>
      <c r="AY159" s="54">
        <v>20235920002703</v>
      </c>
    </row>
    <row r="160" spans="2:51" s="37" customFormat="1" ht="26.25" x14ac:dyDescent="0.25">
      <c r="B160" s="38">
        <v>159</v>
      </c>
      <c r="C160" s="39">
        <v>2023</v>
      </c>
      <c r="D160" s="40" t="s">
        <v>1371</v>
      </c>
      <c r="E160" s="41" t="s">
        <v>153</v>
      </c>
      <c r="F160" s="40" t="s">
        <v>97</v>
      </c>
      <c r="G160" s="40" t="s">
        <v>98</v>
      </c>
      <c r="H160" s="41" t="s">
        <v>1372</v>
      </c>
      <c r="I160" s="25" t="s">
        <v>1373</v>
      </c>
      <c r="J160" s="42" t="s">
        <v>1365</v>
      </c>
      <c r="K160" s="42" t="s">
        <v>1374</v>
      </c>
      <c r="L160" s="26">
        <v>1013644299</v>
      </c>
      <c r="M160" s="43">
        <v>1046</v>
      </c>
      <c r="N160" s="44">
        <v>44979</v>
      </c>
      <c r="O160" s="45">
        <f>202500000+12896667</f>
        <v>215396667</v>
      </c>
      <c r="P160" s="44">
        <v>44988</v>
      </c>
      <c r="Q160" s="43" t="s">
        <v>1375</v>
      </c>
      <c r="R160" s="46">
        <v>44991</v>
      </c>
      <c r="S160" s="45" t="s">
        <v>162</v>
      </c>
      <c r="T160" s="46">
        <v>44992</v>
      </c>
      <c r="U160" s="45">
        <v>22500000</v>
      </c>
      <c r="V160" s="43">
        <v>1040</v>
      </c>
      <c r="W160" s="44">
        <v>44988</v>
      </c>
      <c r="X160" s="47">
        <v>22500000</v>
      </c>
      <c r="Y160" s="46">
        <v>45241</v>
      </c>
      <c r="Z160" s="48" t="s">
        <v>109</v>
      </c>
      <c r="AA160" s="49"/>
      <c r="AB160" s="48"/>
      <c r="AC160" s="26"/>
      <c r="AD160" s="48"/>
      <c r="AE160" s="49"/>
      <c r="AF160" s="48"/>
      <c r="AG160" s="45"/>
      <c r="AH160" s="50">
        <f>U160+AG160</f>
        <v>22500000</v>
      </c>
      <c r="AI160" s="48"/>
      <c r="AJ160" s="48"/>
      <c r="AK160" s="48"/>
      <c r="AL160" s="42"/>
      <c r="AM160" s="48"/>
      <c r="AN160" s="48"/>
      <c r="AO160" s="53" t="s">
        <v>1376</v>
      </c>
      <c r="AP160" s="38" t="s">
        <v>1377</v>
      </c>
      <c r="AQ160" s="51" t="s">
        <v>1375</v>
      </c>
      <c r="AR160" s="52">
        <v>45080</v>
      </c>
      <c r="AS160" s="53">
        <v>45078</v>
      </c>
      <c r="AT160" s="51"/>
      <c r="AU160" s="52"/>
      <c r="AV160" s="53"/>
      <c r="AW160" s="40" t="s">
        <v>1378</v>
      </c>
      <c r="AX160" s="40" t="s">
        <v>493</v>
      </c>
      <c r="AY160" s="54">
        <v>20235920002873</v>
      </c>
    </row>
    <row r="161" spans="2:51" s="37" customFormat="1" ht="26.25" x14ac:dyDescent="0.25">
      <c r="B161" s="38">
        <v>160</v>
      </c>
      <c r="C161" s="39">
        <v>2023</v>
      </c>
      <c r="D161" s="40" t="s">
        <v>1379</v>
      </c>
      <c r="E161" s="41" t="s">
        <v>153</v>
      </c>
      <c r="F161" s="40" t="s">
        <v>97</v>
      </c>
      <c r="G161" s="40" t="s">
        <v>98</v>
      </c>
      <c r="H161" s="41" t="s">
        <v>1380</v>
      </c>
      <c r="I161" s="25" t="s">
        <v>1381</v>
      </c>
      <c r="J161" s="42" t="s">
        <v>539</v>
      </c>
      <c r="K161" s="42" t="s">
        <v>1382</v>
      </c>
      <c r="L161" s="26">
        <v>79579343</v>
      </c>
      <c r="M161" s="43" t="s">
        <v>1383</v>
      </c>
      <c r="N161" s="44" t="s">
        <v>1141</v>
      </c>
      <c r="O161" s="45">
        <f>39750000+12896667</f>
        <v>52646667</v>
      </c>
      <c r="P161" s="44">
        <v>44985</v>
      </c>
      <c r="Q161" s="43" t="s">
        <v>1384</v>
      </c>
      <c r="R161" s="46">
        <v>44988</v>
      </c>
      <c r="S161" s="45" t="s">
        <v>162</v>
      </c>
      <c r="T161" s="46">
        <v>44988</v>
      </c>
      <c r="U161" s="45">
        <v>39750000</v>
      </c>
      <c r="V161" s="43" t="s">
        <v>1385</v>
      </c>
      <c r="W161" s="44" t="s">
        <v>1386</v>
      </c>
      <c r="X161" s="47">
        <f>39750000+12896667</f>
        <v>52646667</v>
      </c>
      <c r="Y161" s="46">
        <v>45216</v>
      </c>
      <c r="Z161" s="48" t="s">
        <v>109</v>
      </c>
      <c r="AA161" s="49"/>
      <c r="AB161" s="48"/>
      <c r="AC161" s="26"/>
      <c r="AD161" s="48"/>
      <c r="AE161" s="49"/>
      <c r="AF161" s="49">
        <v>45216</v>
      </c>
      <c r="AG161" s="45">
        <v>12896667</v>
      </c>
      <c r="AH161" s="50">
        <f>U161+AG161</f>
        <v>52646667</v>
      </c>
      <c r="AI161" s="48" t="s">
        <v>1384</v>
      </c>
      <c r="AJ161" s="49">
        <v>45226</v>
      </c>
      <c r="AK161" s="49">
        <v>45216</v>
      </c>
      <c r="AL161" s="42" t="s">
        <v>1311</v>
      </c>
      <c r="AM161" s="48" t="s">
        <v>1384</v>
      </c>
      <c r="AN161" s="49">
        <v>45226</v>
      </c>
      <c r="AO161" s="38"/>
      <c r="AP161" s="38"/>
      <c r="AQ161" s="38"/>
      <c r="AR161" s="38"/>
      <c r="AS161" s="38"/>
      <c r="AT161" s="51"/>
      <c r="AU161" s="52"/>
      <c r="AV161" s="53">
        <v>45291</v>
      </c>
      <c r="AW161" s="41" t="s">
        <v>56</v>
      </c>
      <c r="AX161" s="40" t="s">
        <v>145</v>
      </c>
      <c r="AY161" s="54">
        <v>20235920002723</v>
      </c>
    </row>
    <row r="162" spans="2:51" s="37" customFormat="1" ht="17.25" customHeight="1" x14ac:dyDescent="0.25">
      <c r="B162" s="38">
        <v>161</v>
      </c>
      <c r="C162" s="39">
        <v>2023</v>
      </c>
      <c r="D162" s="40" t="s">
        <v>1387</v>
      </c>
      <c r="E162" s="41" t="s">
        <v>96</v>
      </c>
      <c r="F162" s="40" t="s">
        <v>97</v>
      </c>
      <c r="G162" s="40" t="s">
        <v>1388</v>
      </c>
      <c r="H162" s="41" t="s">
        <v>1389</v>
      </c>
      <c r="I162" s="36" t="s">
        <v>1390</v>
      </c>
      <c r="J162" s="42" t="s">
        <v>1391</v>
      </c>
      <c r="K162" s="42" t="s">
        <v>1392</v>
      </c>
      <c r="L162" s="26">
        <v>900200519</v>
      </c>
      <c r="M162" s="43">
        <v>1065</v>
      </c>
      <c r="N162" s="44">
        <v>44972</v>
      </c>
      <c r="O162" s="45">
        <v>120000000</v>
      </c>
      <c r="P162" s="44">
        <v>44984</v>
      </c>
      <c r="Q162" s="43" t="s">
        <v>121</v>
      </c>
      <c r="R162" s="46" t="s">
        <v>121</v>
      </c>
      <c r="S162" s="45" t="s">
        <v>1393</v>
      </c>
      <c r="T162" s="46">
        <v>44986</v>
      </c>
      <c r="U162" s="45">
        <v>120000000</v>
      </c>
      <c r="V162" s="43">
        <v>1012</v>
      </c>
      <c r="W162" s="44">
        <v>44986</v>
      </c>
      <c r="X162" s="47">
        <v>120000000</v>
      </c>
      <c r="Y162" s="46">
        <v>45351</v>
      </c>
      <c r="Z162" s="48" t="s">
        <v>120</v>
      </c>
      <c r="AA162" s="49"/>
      <c r="AB162" s="48"/>
      <c r="AC162" s="26"/>
      <c r="AD162" s="48"/>
      <c r="AE162" s="49"/>
      <c r="AF162" s="48"/>
      <c r="AG162" s="45"/>
      <c r="AH162" s="50">
        <f>U162+AG162</f>
        <v>120000000</v>
      </c>
      <c r="AI162" s="48"/>
      <c r="AJ162" s="48"/>
      <c r="AK162" s="48"/>
      <c r="AL162" s="42"/>
      <c r="AM162" s="48"/>
      <c r="AN162" s="48"/>
      <c r="AO162" s="38"/>
      <c r="AP162" s="38"/>
      <c r="AQ162" s="38"/>
      <c r="AR162" s="38"/>
      <c r="AS162" s="38"/>
      <c r="AT162" s="51"/>
      <c r="AU162" s="52"/>
      <c r="AV162" s="38"/>
      <c r="AW162" s="41" t="s">
        <v>56</v>
      </c>
      <c r="AX162" s="40" t="s">
        <v>1394</v>
      </c>
      <c r="AY162" s="54">
        <v>20235920003443</v>
      </c>
    </row>
    <row r="163" spans="2:51" s="37" customFormat="1" ht="26.25" x14ac:dyDescent="0.25">
      <c r="B163" s="38">
        <v>162</v>
      </c>
      <c r="C163" s="39">
        <v>2023</v>
      </c>
      <c r="D163" s="40" t="s">
        <v>1395</v>
      </c>
      <c r="E163" s="41" t="s">
        <v>324</v>
      </c>
      <c r="F163" s="40" t="s">
        <v>97</v>
      </c>
      <c r="G163" s="40" t="s">
        <v>98</v>
      </c>
      <c r="H163" s="41" t="s">
        <v>1396</v>
      </c>
      <c r="I163" s="25" t="s">
        <v>1397</v>
      </c>
      <c r="J163" s="42" t="s">
        <v>1398</v>
      </c>
      <c r="K163" s="42" t="s">
        <v>848</v>
      </c>
      <c r="L163" s="26">
        <v>52358174</v>
      </c>
      <c r="M163" s="43" t="s">
        <v>1399</v>
      </c>
      <c r="N163" s="44" t="s">
        <v>1400</v>
      </c>
      <c r="O163" s="45">
        <f>30750000+10250000</f>
        <v>41000000</v>
      </c>
      <c r="P163" s="44">
        <v>44985</v>
      </c>
      <c r="Q163" s="43" t="s">
        <v>1401</v>
      </c>
      <c r="R163" s="46">
        <v>44986</v>
      </c>
      <c r="S163" s="45" t="s">
        <v>162</v>
      </c>
      <c r="T163" s="46">
        <v>44986</v>
      </c>
      <c r="U163" s="45">
        <v>30750000</v>
      </c>
      <c r="V163" s="43" t="s">
        <v>1402</v>
      </c>
      <c r="W163" s="44" t="s">
        <v>1193</v>
      </c>
      <c r="X163" s="47">
        <f>30750000+10250000</f>
        <v>41000000</v>
      </c>
      <c r="Y163" s="46">
        <v>45214</v>
      </c>
      <c r="Z163" s="48" t="s">
        <v>109</v>
      </c>
      <c r="AA163" s="49"/>
      <c r="AB163" s="48"/>
      <c r="AC163" s="26"/>
      <c r="AD163" s="48"/>
      <c r="AE163" s="49"/>
      <c r="AF163" s="49">
        <v>45212</v>
      </c>
      <c r="AG163" s="45">
        <v>10250000</v>
      </c>
      <c r="AH163" s="50">
        <f>U163+AG163</f>
        <v>41000000</v>
      </c>
      <c r="AI163" s="48" t="s">
        <v>1401</v>
      </c>
      <c r="AJ163" s="49">
        <v>45212</v>
      </c>
      <c r="AK163" s="49">
        <v>45212</v>
      </c>
      <c r="AL163" s="42" t="s">
        <v>1293</v>
      </c>
      <c r="AM163" s="48" t="s">
        <v>1401</v>
      </c>
      <c r="AN163" s="49">
        <v>45212</v>
      </c>
      <c r="AO163" s="38"/>
      <c r="AP163" s="38"/>
      <c r="AQ163" s="38"/>
      <c r="AR163" s="38"/>
      <c r="AS163" s="38"/>
      <c r="AT163" s="51"/>
      <c r="AU163" s="52"/>
      <c r="AV163" s="53">
        <v>45290</v>
      </c>
      <c r="AW163" s="41" t="s">
        <v>56</v>
      </c>
      <c r="AX163" s="40" t="s">
        <v>271</v>
      </c>
      <c r="AY163" s="54">
        <v>20235920002593</v>
      </c>
    </row>
    <row r="164" spans="2:51" s="37" customFormat="1" ht="26.25" x14ac:dyDescent="0.25">
      <c r="B164" s="38">
        <v>163</v>
      </c>
      <c r="C164" s="39">
        <v>2023</v>
      </c>
      <c r="D164" s="40" t="s">
        <v>1403</v>
      </c>
      <c r="E164" s="41" t="s">
        <v>153</v>
      </c>
      <c r="F164" s="40" t="s">
        <v>97</v>
      </c>
      <c r="G164" s="40" t="s">
        <v>98</v>
      </c>
      <c r="H164" s="41" t="s">
        <v>1404</v>
      </c>
      <c r="I164" s="25" t="s">
        <v>1405</v>
      </c>
      <c r="J164" s="42" t="s">
        <v>1365</v>
      </c>
      <c r="K164" s="42" t="s">
        <v>1406</v>
      </c>
      <c r="L164" s="26">
        <v>1016036566</v>
      </c>
      <c r="M164" s="43" t="s">
        <v>1407</v>
      </c>
      <c r="N164" s="44" t="s">
        <v>1368</v>
      </c>
      <c r="O164" s="45">
        <f>202500000+7400000</f>
        <v>209900000</v>
      </c>
      <c r="P164" s="44">
        <v>44986</v>
      </c>
      <c r="Q164" s="43" t="s">
        <v>1408</v>
      </c>
      <c r="R164" s="46">
        <v>44986</v>
      </c>
      <c r="S164" s="45" t="s">
        <v>162</v>
      </c>
      <c r="T164" s="46">
        <v>44987</v>
      </c>
      <c r="U164" s="45">
        <v>22500000</v>
      </c>
      <c r="V164" s="43" t="s">
        <v>1409</v>
      </c>
      <c r="W164" s="44" t="s">
        <v>1193</v>
      </c>
      <c r="X164" s="47">
        <f>22500000+7400000</f>
        <v>29900000</v>
      </c>
      <c r="Y164" s="46">
        <v>45215</v>
      </c>
      <c r="Z164" s="48" t="s">
        <v>109</v>
      </c>
      <c r="AA164" s="49"/>
      <c r="AB164" s="48"/>
      <c r="AC164" s="26"/>
      <c r="AD164" s="48"/>
      <c r="AE164" s="49"/>
      <c r="AF164" s="49">
        <v>45212</v>
      </c>
      <c r="AG164" s="45">
        <v>7400000</v>
      </c>
      <c r="AH164" s="50">
        <f>U164+AG164</f>
        <v>29900000</v>
      </c>
      <c r="AI164" s="48" t="s">
        <v>1408</v>
      </c>
      <c r="AJ164" s="49">
        <v>45219</v>
      </c>
      <c r="AK164" s="49">
        <v>45212</v>
      </c>
      <c r="AL164" s="42" t="s">
        <v>1195</v>
      </c>
      <c r="AM164" s="48" t="s">
        <v>1408</v>
      </c>
      <c r="AN164" s="49">
        <v>45219</v>
      </c>
      <c r="AO164" s="38"/>
      <c r="AP164" s="38"/>
      <c r="AQ164" s="38"/>
      <c r="AR164" s="38"/>
      <c r="AS164" s="38"/>
      <c r="AT164" s="51"/>
      <c r="AU164" s="52"/>
      <c r="AV164" s="53">
        <v>45291</v>
      </c>
      <c r="AW164" s="41" t="s">
        <v>56</v>
      </c>
      <c r="AX164" s="40" t="s">
        <v>493</v>
      </c>
      <c r="AY164" s="54">
        <v>20235920002693</v>
      </c>
    </row>
    <row r="165" spans="2:51" s="37" customFormat="1" ht="28.5" x14ac:dyDescent="0.25">
      <c r="B165" s="38">
        <v>164</v>
      </c>
      <c r="C165" s="39">
        <v>2023</v>
      </c>
      <c r="D165" s="40" t="s">
        <v>1410</v>
      </c>
      <c r="E165" s="41" t="s">
        <v>153</v>
      </c>
      <c r="F165" s="40" t="s">
        <v>97</v>
      </c>
      <c r="G165" s="40" t="s">
        <v>98</v>
      </c>
      <c r="H165" s="41" t="s">
        <v>1411</v>
      </c>
      <c r="I165" s="25" t="s">
        <v>1412</v>
      </c>
      <c r="J165" s="42" t="s">
        <v>1365</v>
      </c>
      <c r="K165" s="42" t="s">
        <v>1413</v>
      </c>
      <c r="L165" s="26">
        <v>1007351479</v>
      </c>
      <c r="M165" s="43" t="s">
        <v>1414</v>
      </c>
      <c r="N165" s="44" t="s">
        <v>1415</v>
      </c>
      <c r="O165" s="45">
        <f>202500000+7300000</f>
        <v>209800000</v>
      </c>
      <c r="P165" s="44">
        <v>44986</v>
      </c>
      <c r="Q165" s="43" t="s">
        <v>1416</v>
      </c>
      <c r="R165" s="46">
        <v>44988</v>
      </c>
      <c r="S165" s="45" t="s">
        <v>162</v>
      </c>
      <c r="T165" s="46">
        <v>44988</v>
      </c>
      <c r="U165" s="45">
        <v>22500000</v>
      </c>
      <c r="V165" s="43" t="s">
        <v>1417</v>
      </c>
      <c r="W165" s="44" t="s">
        <v>1386</v>
      </c>
      <c r="X165" s="47">
        <f>22500000+7300000</f>
        <v>29800000</v>
      </c>
      <c r="Y165" s="46">
        <v>45216</v>
      </c>
      <c r="Z165" s="48" t="s">
        <v>109</v>
      </c>
      <c r="AA165" s="49"/>
      <c r="AB165" s="48"/>
      <c r="AC165" s="26"/>
      <c r="AD165" s="48"/>
      <c r="AE165" s="49"/>
      <c r="AF165" s="49">
        <v>45216</v>
      </c>
      <c r="AG165" s="45">
        <v>7300000</v>
      </c>
      <c r="AH165" s="50">
        <f>U165+AG165</f>
        <v>29800000</v>
      </c>
      <c r="AI165" s="48" t="s">
        <v>1416</v>
      </c>
      <c r="AJ165" s="49">
        <v>45226</v>
      </c>
      <c r="AK165" s="49">
        <v>45216</v>
      </c>
      <c r="AL165" s="42" t="s">
        <v>1311</v>
      </c>
      <c r="AM165" s="48" t="s">
        <v>1416</v>
      </c>
      <c r="AN165" s="49">
        <v>45226</v>
      </c>
      <c r="AO165" s="38"/>
      <c r="AP165" s="38"/>
      <c r="AQ165" s="38"/>
      <c r="AR165" s="38"/>
      <c r="AS165" s="38"/>
      <c r="AT165" s="51"/>
      <c r="AU165" s="52"/>
      <c r="AV165" s="53">
        <v>45291</v>
      </c>
      <c r="AW165" s="41" t="s">
        <v>56</v>
      </c>
      <c r="AX165" s="40" t="s">
        <v>493</v>
      </c>
      <c r="AY165" s="54">
        <v>20235920002713</v>
      </c>
    </row>
    <row r="166" spans="2:51" s="37" customFormat="1" ht="26.25" x14ac:dyDescent="0.25">
      <c r="B166" s="38">
        <v>165</v>
      </c>
      <c r="C166" s="39">
        <v>2023</v>
      </c>
      <c r="D166" s="40" t="s">
        <v>1418</v>
      </c>
      <c r="E166" s="41" t="s">
        <v>153</v>
      </c>
      <c r="F166" s="40" t="s">
        <v>97</v>
      </c>
      <c r="G166" s="40" t="s">
        <v>98</v>
      </c>
      <c r="H166" s="41" t="s">
        <v>1419</v>
      </c>
      <c r="I166" s="25" t="s">
        <v>1420</v>
      </c>
      <c r="J166" s="42" t="s">
        <v>1365</v>
      </c>
      <c r="K166" s="42" t="s">
        <v>1421</v>
      </c>
      <c r="L166" s="26">
        <v>1016109467</v>
      </c>
      <c r="M166" s="43" t="s">
        <v>1422</v>
      </c>
      <c r="N166" s="44" t="s">
        <v>1415</v>
      </c>
      <c r="O166" s="45">
        <f>202500000+7300000</f>
        <v>209800000</v>
      </c>
      <c r="P166" s="44">
        <v>44986</v>
      </c>
      <c r="Q166" s="43" t="s">
        <v>1423</v>
      </c>
      <c r="R166" s="46">
        <v>44988</v>
      </c>
      <c r="S166" s="45" t="s">
        <v>162</v>
      </c>
      <c r="T166" s="46">
        <v>44988</v>
      </c>
      <c r="U166" s="45">
        <v>22500000</v>
      </c>
      <c r="V166" s="43" t="s">
        <v>1424</v>
      </c>
      <c r="W166" s="44" t="s">
        <v>1425</v>
      </c>
      <c r="X166" s="47">
        <f>22500000+7300000</f>
        <v>29800000</v>
      </c>
      <c r="Y166" s="46">
        <v>45216</v>
      </c>
      <c r="Z166" s="48" t="s">
        <v>109</v>
      </c>
      <c r="AA166" s="49"/>
      <c r="AB166" s="48"/>
      <c r="AC166" s="26"/>
      <c r="AD166" s="48"/>
      <c r="AE166" s="49"/>
      <c r="AF166" s="49">
        <v>45216</v>
      </c>
      <c r="AG166" s="45">
        <v>7300000</v>
      </c>
      <c r="AH166" s="50">
        <f>U166+AG166</f>
        <v>29800000</v>
      </c>
      <c r="AI166" s="48" t="s">
        <v>708</v>
      </c>
      <c r="AJ166" s="48" t="s">
        <v>708</v>
      </c>
      <c r="AK166" s="49">
        <v>45216</v>
      </c>
      <c r="AL166" s="42" t="s">
        <v>1311</v>
      </c>
      <c r="AM166" s="48" t="s">
        <v>708</v>
      </c>
      <c r="AN166" s="48" t="s">
        <v>708</v>
      </c>
      <c r="AO166" s="38"/>
      <c r="AP166" s="38"/>
      <c r="AQ166" s="38"/>
      <c r="AR166" s="38"/>
      <c r="AS166" s="38"/>
      <c r="AT166" s="51"/>
      <c r="AU166" s="52"/>
      <c r="AV166" s="53">
        <v>45291</v>
      </c>
      <c r="AW166" s="41" t="s">
        <v>56</v>
      </c>
      <c r="AX166" s="40" t="s">
        <v>493</v>
      </c>
      <c r="AY166" s="54">
        <v>20235920002683</v>
      </c>
    </row>
    <row r="167" spans="2:51" s="37" customFormat="1" ht="26.25" x14ac:dyDescent="0.25">
      <c r="B167" s="38">
        <v>166</v>
      </c>
      <c r="C167" s="39">
        <v>2023</v>
      </c>
      <c r="D167" s="40" t="s">
        <v>1426</v>
      </c>
      <c r="E167" s="41" t="s">
        <v>153</v>
      </c>
      <c r="F167" s="40" t="s">
        <v>97</v>
      </c>
      <c r="G167" s="40" t="s">
        <v>98</v>
      </c>
      <c r="H167" s="41" t="s">
        <v>1427</v>
      </c>
      <c r="I167" s="25" t="s">
        <v>1428</v>
      </c>
      <c r="J167" s="42" t="s">
        <v>1429</v>
      </c>
      <c r="K167" s="42" t="s">
        <v>1430</v>
      </c>
      <c r="L167" s="26">
        <v>1192791727</v>
      </c>
      <c r="M167" s="43" t="s">
        <v>1431</v>
      </c>
      <c r="N167" s="44" t="s">
        <v>1432</v>
      </c>
      <c r="O167" s="45">
        <f>33900000+10546667</f>
        <v>44446667</v>
      </c>
      <c r="P167" s="44">
        <v>44988</v>
      </c>
      <c r="Q167" s="43" t="s">
        <v>1433</v>
      </c>
      <c r="R167" s="46">
        <v>44988</v>
      </c>
      <c r="S167" s="45" t="s">
        <v>162</v>
      </c>
      <c r="T167" s="46">
        <v>44991</v>
      </c>
      <c r="U167" s="45">
        <v>33900000</v>
      </c>
      <c r="V167" s="43" t="s">
        <v>1434</v>
      </c>
      <c r="W167" s="44" t="s">
        <v>1435</v>
      </c>
      <c r="X167" s="47">
        <f>33900000+10546667</f>
        <v>44446667</v>
      </c>
      <c r="Y167" s="46">
        <v>45219</v>
      </c>
      <c r="Z167" s="48" t="s">
        <v>109</v>
      </c>
      <c r="AA167" s="49"/>
      <c r="AB167" s="48"/>
      <c r="AC167" s="26"/>
      <c r="AD167" s="48"/>
      <c r="AE167" s="49"/>
      <c r="AF167" s="49">
        <v>45218</v>
      </c>
      <c r="AG167" s="45">
        <v>10546667</v>
      </c>
      <c r="AH167" s="50">
        <f>U167+AG167</f>
        <v>44446667</v>
      </c>
      <c r="AI167" s="48" t="s">
        <v>1433</v>
      </c>
      <c r="AJ167" s="49">
        <v>45225</v>
      </c>
      <c r="AK167" s="49">
        <v>45218</v>
      </c>
      <c r="AL167" s="42" t="s">
        <v>1256</v>
      </c>
      <c r="AM167" s="48" t="s">
        <v>1433</v>
      </c>
      <c r="AN167" s="49">
        <v>45225</v>
      </c>
      <c r="AO167" s="38"/>
      <c r="AP167" s="38"/>
      <c r="AQ167" s="38"/>
      <c r="AR167" s="38"/>
      <c r="AS167" s="38"/>
      <c r="AT167" s="51"/>
      <c r="AU167" s="52"/>
      <c r="AV167" s="53">
        <v>45291</v>
      </c>
      <c r="AW167" s="41" t="s">
        <v>56</v>
      </c>
      <c r="AX167" s="40" t="s">
        <v>699</v>
      </c>
      <c r="AY167" s="54">
        <v>20235920007323</v>
      </c>
    </row>
    <row r="168" spans="2:51" s="37" customFormat="1" ht="26.25" x14ac:dyDescent="0.25">
      <c r="B168" s="38">
        <v>167</v>
      </c>
      <c r="C168" s="39">
        <v>2023</v>
      </c>
      <c r="D168" s="40" t="s">
        <v>1436</v>
      </c>
      <c r="E168" s="41" t="s">
        <v>128</v>
      </c>
      <c r="F168" s="40" t="s">
        <v>97</v>
      </c>
      <c r="G168" s="40" t="s">
        <v>98</v>
      </c>
      <c r="H168" s="41" t="s">
        <v>1437</v>
      </c>
      <c r="I168" s="25" t="s">
        <v>1438</v>
      </c>
      <c r="J168" s="42" t="s">
        <v>549</v>
      </c>
      <c r="K168" s="42" t="s">
        <v>1439</v>
      </c>
      <c r="L168" s="26">
        <v>1030638814</v>
      </c>
      <c r="M168" s="43" t="s">
        <v>1440</v>
      </c>
      <c r="N168" s="44" t="s">
        <v>1072</v>
      </c>
      <c r="O168" s="45">
        <f>67800000+10998667</f>
        <v>78798667</v>
      </c>
      <c r="P168" s="44">
        <v>44986</v>
      </c>
      <c r="Q168" s="43" t="s">
        <v>1441</v>
      </c>
      <c r="R168" s="46">
        <v>44987</v>
      </c>
      <c r="S168" s="45" t="s">
        <v>162</v>
      </c>
      <c r="T168" s="46">
        <v>44988</v>
      </c>
      <c r="U168" s="45">
        <v>33900000</v>
      </c>
      <c r="V168" s="43" t="s">
        <v>1442</v>
      </c>
      <c r="W168" s="44" t="s">
        <v>1310</v>
      </c>
      <c r="X168" s="47">
        <f>33900000+10998667</f>
        <v>44898667</v>
      </c>
      <c r="Y168" s="46">
        <v>45216</v>
      </c>
      <c r="Z168" s="48" t="s">
        <v>109</v>
      </c>
      <c r="AA168" s="49"/>
      <c r="AB168" s="48"/>
      <c r="AC168" s="26"/>
      <c r="AD168" s="48"/>
      <c r="AE168" s="49"/>
      <c r="AF168" s="49">
        <v>45216</v>
      </c>
      <c r="AG168" s="45">
        <v>10998667</v>
      </c>
      <c r="AH168" s="50">
        <f>U168+AG168</f>
        <v>44898667</v>
      </c>
      <c r="AI168" s="48" t="s">
        <v>1443</v>
      </c>
      <c r="AJ168" s="49">
        <v>45226</v>
      </c>
      <c r="AK168" s="49">
        <v>45216</v>
      </c>
      <c r="AL168" s="42" t="s">
        <v>1311</v>
      </c>
      <c r="AM168" s="48" t="s">
        <v>1443</v>
      </c>
      <c r="AN168" s="49">
        <v>45226</v>
      </c>
      <c r="AO168" s="38"/>
      <c r="AP168" s="38"/>
      <c r="AQ168" s="38"/>
      <c r="AR168" s="38"/>
      <c r="AS168" s="38"/>
      <c r="AT168" s="51"/>
      <c r="AU168" s="52"/>
      <c r="AV168" s="53">
        <v>45291</v>
      </c>
      <c r="AW168" s="41" t="s">
        <v>56</v>
      </c>
      <c r="AX168" s="40" t="s">
        <v>552</v>
      </c>
      <c r="AY168" s="54">
        <v>20235920003183</v>
      </c>
    </row>
    <row r="169" spans="2:51" s="37" customFormat="1" ht="26.25" x14ac:dyDescent="0.25">
      <c r="B169" s="38">
        <v>168</v>
      </c>
      <c r="C169" s="39">
        <v>2023</v>
      </c>
      <c r="D169" s="40" t="s">
        <v>1444</v>
      </c>
      <c r="E169" s="41" t="s">
        <v>128</v>
      </c>
      <c r="F169" s="40" t="s">
        <v>97</v>
      </c>
      <c r="G169" s="40" t="s">
        <v>98</v>
      </c>
      <c r="H169" s="41" t="s">
        <v>1445</v>
      </c>
      <c r="I169" s="25" t="s">
        <v>1446</v>
      </c>
      <c r="J169" s="42" t="s">
        <v>1447</v>
      </c>
      <c r="K169" s="42" t="s">
        <v>1448</v>
      </c>
      <c r="L169" s="26">
        <v>80803689</v>
      </c>
      <c r="M169" s="43" t="s">
        <v>1449</v>
      </c>
      <c r="N169" s="44" t="s">
        <v>1450</v>
      </c>
      <c r="O169" s="45">
        <f>52830000+17140400</f>
        <v>69970400</v>
      </c>
      <c r="P169" s="44">
        <v>44986</v>
      </c>
      <c r="Q169" s="43" t="s">
        <v>1451</v>
      </c>
      <c r="R169" s="46">
        <v>44987</v>
      </c>
      <c r="S169" s="45" t="s">
        <v>162</v>
      </c>
      <c r="T169" s="46">
        <v>44988</v>
      </c>
      <c r="U169" s="45">
        <v>52830000</v>
      </c>
      <c r="V169" s="43" t="s">
        <v>1452</v>
      </c>
      <c r="W169" s="44" t="s">
        <v>1453</v>
      </c>
      <c r="X169" s="47">
        <f>52830000+17140400</f>
        <v>69970400</v>
      </c>
      <c r="Y169" s="46">
        <v>45216</v>
      </c>
      <c r="Z169" s="48" t="s">
        <v>109</v>
      </c>
      <c r="AA169" s="49"/>
      <c r="AB169" s="48"/>
      <c r="AC169" s="26"/>
      <c r="AD169" s="48"/>
      <c r="AE169" s="49"/>
      <c r="AF169" s="49">
        <v>45210</v>
      </c>
      <c r="AG169" s="45">
        <v>17140400</v>
      </c>
      <c r="AH169" s="50">
        <f>U169+AG169</f>
        <v>69970400</v>
      </c>
      <c r="AI169" s="48" t="s">
        <v>1451</v>
      </c>
      <c r="AJ169" s="49">
        <v>45218</v>
      </c>
      <c r="AK169" s="49">
        <v>45210</v>
      </c>
      <c r="AL169" s="42" t="s">
        <v>1311</v>
      </c>
      <c r="AM169" s="48" t="s">
        <v>1451</v>
      </c>
      <c r="AN169" s="49">
        <v>45218</v>
      </c>
      <c r="AO169" s="38"/>
      <c r="AP169" s="38"/>
      <c r="AQ169" s="38"/>
      <c r="AR169" s="38"/>
      <c r="AS169" s="38"/>
      <c r="AT169" s="51"/>
      <c r="AU169" s="52"/>
      <c r="AV169" s="53">
        <v>45291</v>
      </c>
      <c r="AW169" s="41" t="s">
        <v>56</v>
      </c>
      <c r="AX169" s="40" t="s">
        <v>430</v>
      </c>
      <c r="AY169" s="54">
        <v>20235920008813</v>
      </c>
    </row>
    <row r="170" spans="2:51" s="37" customFormat="1" ht="26.25" x14ac:dyDescent="0.25">
      <c r="B170" s="38">
        <v>169</v>
      </c>
      <c r="C170" s="39">
        <v>2023</v>
      </c>
      <c r="D170" s="40" t="s">
        <v>1454</v>
      </c>
      <c r="E170" s="41" t="s">
        <v>155</v>
      </c>
      <c r="F170" s="40" t="s">
        <v>97</v>
      </c>
      <c r="G170" s="40" t="s">
        <v>98</v>
      </c>
      <c r="H170" s="41" t="s">
        <v>1455</v>
      </c>
      <c r="I170" s="25" t="s">
        <v>1456</v>
      </c>
      <c r="J170" s="42" t="s">
        <v>1457</v>
      </c>
      <c r="K170" s="42" t="s">
        <v>1458</v>
      </c>
      <c r="L170" s="26">
        <v>1013656823</v>
      </c>
      <c r="M170" s="43" t="s">
        <v>1459</v>
      </c>
      <c r="N170" s="44" t="s">
        <v>944</v>
      </c>
      <c r="O170" s="45">
        <f>77580000+12930000</f>
        <v>90510000</v>
      </c>
      <c r="P170" s="44">
        <v>44986</v>
      </c>
      <c r="Q170" s="43" t="s">
        <v>1460</v>
      </c>
      <c r="R170" s="46">
        <v>44986</v>
      </c>
      <c r="S170" s="45" t="s">
        <v>162</v>
      </c>
      <c r="T170" s="46">
        <v>44986</v>
      </c>
      <c r="U170" s="45">
        <v>38790000</v>
      </c>
      <c r="V170" s="43" t="s">
        <v>1461</v>
      </c>
      <c r="W170" s="44" t="s">
        <v>1193</v>
      </c>
      <c r="X170" s="47">
        <f>38790000+12930000</f>
        <v>51720000</v>
      </c>
      <c r="Y170" s="46">
        <v>45214</v>
      </c>
      <c r="Z170" s="48" t="s">
        <v>109</v>
      </c>
      <c r="AA170" s="49"/>
      <c r="AB170" s="48"/>
      <c r="AC170" s="26"/>
      <c r="AD170" s="48"/>
      <c r="AE170" s="49"/>
      <c r="AF170" s="49">
        <v>45212</v>
      </c>
      <c r="AG170" s="45">
        <v>12930000</v>
      </c>
      <c r="AH170" s="50">
        <f>U170+AG170</f>
        <v>51720000</v>
      </c>
      <c r="AI170" s="48" t="s">
        <v>1460</v>
      </c>
      <c r="AJ170" s="49">
        <v>45216</v>
      </c>
      <c r="AK170" s="49">
        <v>45212</v>
      </c>
      <c r="AL170" s="42" t="s">
        <v>1293</v>
      </c>
      <c r="AM170" s="48" t="s">
        <v>1460</v>
      </c>
      <c r="AN170" s="49">
        <v>45216</v>
      </c>
      <c r="AO170" s="38"/>
      <c r="AP170" s="38"/>
      <c r="AQ170" s="38"/>
      <c r="AR170" s="38"/>
      <c r="AS170" s="38"/>
      <c r="AT170" s="51"/>
      <c r="AU170" s="52"/>
      <c r="AV170" s="53">
        <v>45289</v>
      </c>
      <c r="AW170" s="41" t="s">
        <v>56</v>
      </c>
      <c r="AX170" s="40" t="s">
        <v>845</v>
      </c>
      <c r="AY170" s="54">
        <v>20235920002853</v>
      </c>
    </row>
    <row r="171" spans="2:51" s="37" customFormat="1" ht="26.25" x14ac:dyDescent="0.25">
      <c r="B171" s="38">
        <v>170</v>
      </c>
      <c r="C171" s="39">
        <v>2023</v>
      </c>
      <c r="D171" s="40" t="s">
        <v>1462</v>
      </c>
      <c r="E171" s="41" t="s">
        <v>155</v>
      </c>
      <c r="F171" s="40" t="s">
        <v>97</v>
      </c>
      <c r="G171" s="40" t="s">
        <v>98</v>
      </c>
      <c r="H171" s="41" t="s">
        <v>1463</v>
      </c>
      <c r="I171" s="25" t="s">
        <v>1464</v>
      </c>
      <c r="J171" s="42" t="s">
        <v>1465</v>
      </c>
      <c r="K171" s="42" t="s">
        <v>1466</v>
      </c>
      <c r="L171" s="26">
        <v>1032470567</v>
      </c>
      <c r="M171" s="43" t="s">
        <v>1467</v>
      </c>
      <c r="N171" s="44" t="s">
        <v>944</v>
      </c>
      <c r="O171" s="45">
        <f>77580000+12757600</f>
        <v>90337600</v>
      </c>
      <c r="P171" s="44">
        <v>44986</v>
      </c>
      <c r="Q171" s="43" t="s">
        <v>1468</v>
      </c>
      <c r="R171" s="46">
        <v>44987</v>
      </c>
      <c r="S171" s="45" t="s">
        <v>162</v>
      </c>
      <c r="T171" s="46">
        <v>44987</v>
      </c>
      <c r="U171" s="45">
        <v>38790000</v>
      </c>
      <c r="V171" s="43" t="s">
        <v>1469</v>
      </c>
      <c r="W171" s="44" t="s">
        <v>1193</v>
      </c>
      <c r="X171" s="47">
        <f>38790000+12757600</f>
        <v>51547600</v>
      </c>
      <c r="Y171" s="46">
        <v>45215</v>
      </c>
      <c r="Z171" s="48" t="s">
        <v>109</v>
      </c>
      <c r="AA171" s="49"/>
      <c r="AB171" s="48"/>
      <c r="AC171" s="26"/>
      <c r="AD171" s="48"/>
      <c r="AE171" s="49"/>
      <c r="AF171" s="49">
        <v>45211</v>
      </c>
      <c r="AG171" s="45">
        <v>12757600</v>
      </c>
      <c r="AH171" s="50">
        <f>U171+AG171</f>
        <v>51547600</v>
      </c>
      <c r="AI171" s="48" t="s">
        <v>1468</v>
      </c>
      <c r="AJ171" s="49">
        <v>45216</v>
      </c>
      <c r="AK171" s="49">
        <v>45211</v>
      </c>
      <c r="AL171" s="42" t="s">
        <v>1195</v>
      </c>
      <c r="AM171" s="48" t="s">
        <v>1468</v>
      </c>
      <c r="AN171" s="49">
        <v>45216</v>
      </c>
      <c r="AO171" s="38"/>
      <c r="AP171" s="38"/>
      <c r="AQ171" s="38"/>
      <c r="AR171" s="38"/>
      <c r="AS171" s="38"/>
      <c r="AT171" s="51"/>
      <c r="AU171" s="52"/>
      <c r="AV171" s="53">
        <v>45291</v>
      </c>
      <c r="AW171" s="41" t="s">
        <v>56</v>
      </c>
      <c r="AX171" s="40" t="s">
        <v>845</v>
      </c>
      <c r="AY171" s="54">
        <v>20235920002853</v>
      </c>
    </row>
    <row r="172" spans="2:51" s="37" customFormat="1" ht="26.25" x14ac:dyDescent="0.25">
      <c r="B172" s="38">
        <v>171</v>
      </c>
      <c r="C172" s="39">
        <v>2023</v>
      </c>
      <c r="D172" s="40" t="s">
        <v>1470</v>
      </c>
      <c r="E172" s="41" t="s">
        <v>153</v>
      </c>
      <c r="F172" s="40" t="s">
        <v>97</v>
      </c>
      <c r="G172" s="40" t="s">
        <v>98</v>
      </c>
      <c r="H172" s="41" t="s">
        <v>1471</v>
      </c>
      <c r="I172" s="25" t="s">
        <v>1472</v>
      </c>
      <c r="J172" s="42" t="s">
        <v>1365</v>
      </c>
      <c r="K172" s="42" t="s">
        <v>1473</v>
      </c>
      <c r="L172" s="26">
        <v>1016005310</v>
      </c>
      <c r="M172" s="43" t="s">
        <v>1474</v>
      </c>
      <c r="N172" s="44" t="s">
        <v>1415</v>
      </c>
      <c r="O172" s="45">
        <f>202500000+7300000</f>
        <v>209800000</v>
      </c>
      <c r="P172" s="44">
        <v>44986</v>
      </c>
      <c r="Q172" s="43" t="s">
        <v>1475</v>
      </c>
      <c r="R172" s="46">
        <v>44988</v>
      </c>
      <c r="S172" s="45" t="s">
        <v>162</v>
      </c>
      <c r="T172" s="46">
        <v>44988</v>
      </c>
      <c r="U172" s="45">
        <v>22500000</v>
      </c>
      <c r="V172" s="43" t="s">
        <v>1476</v>
      </c>
      <c r="W172" s="44" t="s">
        <v>1386</v>
      </c>
      <c r="X172" s="47">
        <f>22500000+7300000</f>
        <v>29800000</v>
      </c>
      <c r="Y172" s="46">
        <v>45216</v>
      </c>
      <c r="Z172" s="48" t="s">
        <v>109</v>
      </c>
      <c r="AA172" s="49"/>
      <c r="AB172" s="48"/>
      <c r="AC172" s="26"/>
      <c r="AD172" s="48"/>
      <c r="AE172" s="49"/>
      <c r="AF172" s="49">
        <v>45216</v>
      </c>
      <c r="AG172" s="45">
        <v>7300000</v>
      </c>
      <c r="AH172" s="50">
        <f>U172+AG172</f>
        <v>29800000</v>
      </c>
      <c r="AI172" s="48" t="s">
        <v>1477</v>
      </c>
      <c r="AJ172" s="49">
        <v>45229</v>
      </c>
      <c r="AK172" s="49">
        <v>45216</v>
      </c>
      <c r="AL172" s="42" t="s">
        <v>1311</v>
      </c>
      <c r="AM172" s="48" t="s">
        <v>1477</v>
      </c>
      <c r="AN172" s="49">
        <v>45229</v>
      </c>
      <c r="AO172" s="38"/>
      <c r="AP172" s="38"/>
      <c r="AQ172" s="38"/>
      <c r="AR172" s="38"/>
      <c r="AS172" s="38"/>
      <c r="AT172" s="51"/>
      <c r="AU172" s="52"/>
      <c r="AV172" s="53">
        <v>45291</v>
      </c>
      <c r="AW172" s="41" t="s">
        <v>56</v>
      </c>
      <c r="AX172" s="40" t="s">
        <v>493</v>
      </c>
      <c r="AY172" s="54">
        <v>20235920002663</v>
      </c>
    </row>
    <row r="173" spans="2:51" s="37" customFormat="1" ht="26.25" x14ac:dyDescent="0.25">
      <c r="B173" s="38">
        <v>172</v>
      </c>
      <c r="C173" s="39">
        <v>2023</v>
      </c>
      <c r="D173" s="40" t="s">
        <v>1478</v>
      </c>
      <c r="E173" s="41" t="s">
        <v>153</v>
      </c>
      <c r="F173" s="40" t="s">
        <v>97</v>
      </c>
      <c r="G173" s="40" t="s">
        <v>98</v>
      </c>
      <c r="H173" s="41" t="s">
        <v>1479</v>
      </c>
      <c r="I173" s="25" t="s">
        <v>1480</v>
      </c>
      <c r="J173" s="42" t="s">
        <v>1365</v>
      </c>
      <c r="K173" s="42" t="s">
        <v>1481</v>
      </c>
      <c r="L173" s="26">
        <v>1007159763</v>
      </c>
      <c r="M173" s="43" t="s">
        <v>1482</v>
      </c>
      <c r="N173" s="44" t="s">
        <v>1415</v>
      </c>
      <c r="O173" s="45">
        <f>202500000+7000000</f>
        <v>209500000</v>
      </c>
      <c r="P173" s="44">
        <v>44986</v>
      </c>
      <c r="Q173" s="43" t="s">
        <v>1483</v>
      </c>
      <c r="R173" s="46">
        <v>44991</v>
      </c>
      <c r="S173" s="45" t="s">
        <v>162</v>
      </c>
      <c r="T173" s="46">
        <v>44991</v>
      </c>
      <c r="U173" s="45">
        <v>22500000</v>
      </c>
      <c r="V173" s="43" t="s">
        <v>1484</v>
      </c>
      <c r="W173" s="44" t="s">
        <v>1485</v>
      </c>
      <c r="X173" s="47">
        <f>22500000+7000000</f>
        <v>29500000</v>
      </c>
      <c r="Y173" s="46">
        <v>45219</v>
      </c>
      <c r="Z173" s="48" t="s">
        <v>109</v>
      </c>
      <c r="AA173" s="49"/>
      <c r="AB173" s="48"/>
      <c r="AC173" s="26"/>
      <c r="AD173" s="48"/>
      <c r="AE173" s="49"/>
      <c r="AF173" s="49">
        <v>45218</v>
      </c>
      <c r="AG173" s="45">
        <v>7000000</v>
      </c>
      <c r="AH173" s="50">
        <f>U173+AG173</f>
        <v>29500000</v>
      </c>
      <c r="AI173" s="48" t="s">
        <v>1483</v>
      </c>
      <c r="AJ173" s="49">
        <v>45225</v>
      </c>
      <c r="AK173" s="49">
        <v>45218</v>
      </c>
      <c r="AL173" s="42" t="s">
        <v>1256</v>
      </c>
      <c r="AM173" s="48" t="s">
        <v>1483</v>
      </c>
      <c r="AN173" s="49">
        <v>45225</v>
      </c>
      <c r="AO173" s="38"/>
      <c r="AP173" s="38"/>
      <c r="AQ173" s="38"/>
      <c r="AR173" s="38"/>
      <c r="AS173" s="38"/>
      <c r="AT173" s="51"/>
      <c r="AU173" s="52"/>
      <c r="AV173" s="53">
        <v>45291</v>
      </c>
      <c r="AW173" s="41" t="s">
        <v>56</v>
      </c>
      <c r="AX173" s="40" t="s">
        <v>493</v>
      </c>
      <c r="AY173" s="54">
        <v>20235920002753</v>
      </c>
    </row>
    <row r="174" spans="2:51" s="37" customFormat="1" ht="26.25" x14ac:dyDescent="0.25">
      <c r="B174" s="38">
        <v>173</v>
      </c>
      <c r="C174" s="39">
        <v>2023</v>
      </c>
      <c r="D174" s="40" t="s">
        <v>1486</v>
      </c>
      <c r="E174" s="41" t="s">
        <v>96</v>
      </c>
      <c r="F174" s="40" t="s">
        <v>97</v>
      </c>
      <c r="G174" s="40" t="s">
        <v>98</v>
      </c>
      <c r="H174" s="41" t="s">
        <v>1487</v>
      </c>
      <c r="I174" s="25" t="s">
        <v>1488</v>
      </c>
      <c r="J174" s="42" t="s">
        <v>1489</v>
      </c>
      <c r="K174" s="42" t="s">
        <v>1490</v>
      </c>
      <c r="L174" s="26">
        <v>11413532</v>
      </c>
      <c r="M174" s="43" t="s">
        <v>1491</v>
      </c>
      <c r="N174" s="44" t="s">
        <v>1492</v>
      </c>
      <c r="O174" s="45">
        <f>44250000+14750000</f>
        <v>59000000</v>
      </c>
      <c r="P174" s="44">
        <v>44986</v>
      </c>
      <c r="Q174" s="43" t="s">
        <v>1493</v>
      </c>
      <c r="R174" s="46">
        <v>44991</v>
      </c>
      <c r="S174" s="45" t="s">
        <v>162</v>
      </c>
      <c r="T174" s="46">
        <v>44986</v>
      </c>
      <c r="U174" s="45">
        <v>44250000</v>
      </c>
      <c r="V174" s="43" t="s">
        <v>1494</v>
      </c>
      <c r="W174" s="44" t="s">
        <v>1193</v>
      </c>
      <c r="X174" s="47">
        <f>44250000+14750000</f>
        <v>59000000</v>
      </c>
      <c r="Y174" s="46">
        <v>45214</v>
      </c>
      <c r="Z174" s="48" t="s">
        <v>109</v>
      </c>
      <c r="AA174" s="49"/>
      <c r="AB174" s="48"/>
      <c r="AC174" s="26"/>
      <c r="AD174" s="48"/>
      <c r="AE174" s="49"/>
      <c r="AF174" s="49">
        <v>45212</v>
      </c>
      <c r="AG174" s="45">
        <v>14750000</v>
      </c>
      <c r="AH174" s="50">
        <f>U174+AG174</f>
        <v>59000000</v>
      </c>
      <c r="AI174" s="48" t="s">
        <v>708</v>
      </c>
      <c r="AJ174" s="48" t="s">
        <v>708</v>
      </c>
      <c r="AK174" s="49">
        <v>45212</v>
      </c>
      <c r="AL174" s="42" t="s">
        <v>524</v>
      </c>
      <c r="AM174" s="48" t="s">
        <v>708</v>
      </c>
      <c r="AN174" s="48" t="s">
        <v>708</v>
      </c>
      <c r="AO174" s="38"/>
      <c r="AP174" s="38"/>
      <c r="AQ174" s="38"/>
      <c r="AR174" s="38"/>
      <c r="AS174" s="38"/>
      <c r="AT174" s="51"/>
      <c r="AU174" s="52"/>
      <c r="AV174" s="53">
        <v>45290</v>
      </c>
      <c r="AW174" s="41" t="s">
        <v>56</v>
      </c>
      <c r="AX174" s="40" t="s">
        <v>184</v>
      </c>
      <c r="AY174" s="54">
        <v>20235920003333</v>
      </c>
    </row>
    <row r="175" spans="2:51" s="37" customFormat="1" ht="30.75" customHeight="1" x14ac:dyDescent="0.25">
      <c r="B175" s="38">
        <v>174</v>
      </c>
      <c r="C175" s="39">
        <v>2023</v>
      </c>
      <c r="D175" s="40" t="s">
        <v>1495</v>
      </c>
      <c r="E175" s="41" t="s">
        <v>128</v>
      </c>
      <c r="F175" s="40" t="s">
        <v>97</v>
      </c>
      <c r="G175" s="40" t="s">
        <v>98</v>
      </c>
      <c r="H175" s="41" t="s">
        <v>1496</v>
      </c>
      <c r="I175" s="36" t="s">
        <v>1497</v>
      </c>
      <c r="J175" s="42" t="s">
        <v>1070</v>
      </c>
      <c r="K175" s="42" t="s">
        <v>1498</v>
      </c>
      <c r="L175" s="26">
        <v>79855996</v>
      </c>
      <c r="M175" s="43" t="s">
        <v>1499</v>
      </c>
      <c r="N175" s="44" t="s">
        <v>1174</v>
      </c>
      <c r="O175" s="45">
        <f>45000000+15000000</f>
        <v>60000000</v>
      </c>
      <c r="P175" s="44">
        <v>44985</v>
      </c>
      <c r="Q175" s="43" t="s">
        <v>1500</v>
      </c>
      <c r="R175" s="46">
        <v>44986</v>
      </c>
      <c r="S175" s="45" t="s">
        <v>162</v>
      </c>
      <c r="T175" s="46">
        <v>44986</v>
      </c>
      <c r="U175" s="45">
        <v>45000000</v>
      </c>
      <c r="V175" s="43" t="s">
        <v>1501</v>
      </c>
      <c r="W175" s="44" t="s">
        <v>1334</v>
      </c>
      <c r="X175" s="47">
        <f>45000000+15000000</f>
        <v>60000000</v>
      </c>
      <c r="Y175" s="46">
        <v>45214</v>
      </c>
      <c r="Z175" s="48" t="s">
        <v>109</v>
      </c>
      <c r="AA175" s="49"/>
      <c r="AB175" s="48"/>
      <c r="AC175" s="26"/>
      <c r="AD175" s="48"/>
      <c r="AE175" s="49"/>
      <c r="AF175" s="49">
        <v>45208</v>
      </c>
      <c r="AG175" s="45">
        <v>15000000</v>
      </c>
      <c r="AH175" s="50">
        <f>U175+AG175</f>
        <v>60000000</v>
      </c>
      <c r="AI175" s="48" t="s">
        <v>1500</v>
      </c>
      <c r="AJ175" s="49">
        <v>45216</v>
      </c>
      <c r="AK175" s="49">
        <v>45208</v>
      </c>
      <c r="AL175" s="42" t="s">
        <v>1293</v>
      </c>
      <c r="AM175" s="48" t="s">
        <v>1500</v>
      </c>
      <c r="AN175" s="49">
        <v>45216</v>
      </c>
      <c r="AO175" s="38"/>
      <c r="AP175" s="38"/>
      <c r="AQ175" s="38"/>
      <c r="AR175" s="38"/>
      <c r="AS175" s="38"/>
      <c r="AT175" s="51"/>
      <c r="AU175" s="52"/>
      <c r="AV175" s="53">
        <v>45291</v>
      </c>
      <c r="AW175" s="41" t="s">
        <v>56</v>
      </c>
      <c r="AX175" s="40" t="s">
        <v>337</v>
      </c>
      <c r="AY175" s="54">
        <v>20235920002633</v>
      </c>
    </row>
    <row r="176" spans="2:51" s="37" customFormat="1" ht="26.25" x14ac:dyDescent="0.25">
      <c r="B176" s="38">
        <v>175</v>
      </c>
      <c r="C176" s="39">
        <v>2023</v>
      </c>
      <c r="D176" s="40" t="s">
        <v>1502</v>
      </c>
      <c r="E176" s="41" t="s">
        <v>128</v>
      </c>
      <c r="F176" s="40" t="s">
        <v>97</v>
      </c>
      <c r="G176" s="40" t="s">
        <v>98</v>
      </c>
      <c r="H176" s="41" t="s">
        <v>1503</v>
      </c>
      <c r="I176" s="25" t="s">
        <v>1504</v>
      </c>
      <c r="J176" s="42" t="s">
        <v>549</v>
      </c>
      <c r="K176" s="42" t="s">
        <v>1505</v>
      </c>
      <c r="L176" s="26">
        <v>1016062014</v>
      </c>
      <c r="M176" s="43">
        <v>1037</v>
      </c>
      <c r="N176" s="44">
        <v>44974</v>
      </c>
      <c r="O176" s="45">
        <v>67800000</v>
      </c>
      <c r="P176" s="44">
        <v>44986</v>
      </c>
      <c r="Q176" s="43" t="s">
        <v>1506</v>
      </c>
      <c r="R176" s="46">
        <v>44988</v>
      </c>
      <c r="S176" s="45" t="s">
        <v>162</v>
      </c>
      <c r="T176" s="46">
        <v>44991</v>
      </c>
      <c r="U176" s="45">
        <v>33900000</v>
      </c>
      <c r="V176" s="43">
        <v>1042</v>
      </c>
      <c r="W176" s="44">
        <v>44988</v>
      </c>
      <c r="X176" s="47">
        <v>33900000</v>
      </c>
      <c r="Y176" s="46">
        <v>45219</v>
      </c>
      <c r="Z176" s="48" t="s">
        <v>109</v>
      </c>
      <c r="AA176" s="49" t="s">
        <v>121</v>
      </c>
      <c r="AB176" s="49" t="s">
        <v>121</v>
      </c>
      <c r="AC176" s="26" t="s">
        <v>121</v>
      </c>
      <c r="AD176" s="49" t="s">
        <v>121</v>
      </c>
      <c r="AE176" s="49" t="s">
        <v>121</v>
      </c>
      <c r="AF176" s="48" t="s">
        <v>121</v>
      </c>
      <c r="AG176" s="45" t="s">
        <v>121</v>
      </c>
      <c r="AH176" s="50" t="s">
        <v>121</v>
      </c>
      <c r="AI176" s="38" t="s">
        <v>121</v>
      </c>
      <c r="AJ176" s="38" t="s">
        <v>121</v>
      </c>
      <c r="AK176" s="38" t="s">
        <v>121</v>
      </c>
      <c r="AL176" s="51" t="s">
        <v>121</v>
      </c>
      <c r="AM176" s="52" t="s">
        <v>121</v>
      </c>
      <c r="AN176" s="48" t="s">
        <v>121</v>
      </c>
      <c r="AO176" s="38" t="s">
        <v>121</v>
      </c>
      <c r="AP176" s="38" t="s">
        <v>121</v>
      </c>
      <c r="AQ176" s="38" t="s">
        <v>121</v>
      </c>
      <c r="AR176" s="38" t="s">
        <v>121</v>
      </c>
      <c r="AS176" s="38" t="s">
        <v>121</v>
      </c>
      <c r="AT176" s="51" t="s">
        <v>121</v>
      </c>
      <c r="AU176" s="52" t="s">
        <v>121</v>
      </c>
      <c r="AV176" s="53">
        <v>45117</v>
      </c>
      <c r="AW176" s="40" t="s">
        <v>152</v>
      </c>
      <c r="AX176" s="40" t="s">
        <v>552</v>
      </c>
      <c r="AY176" s="54">
        <v>20235920003193</v>
      </c>
    </row>
    <row r="177" spans="2:51" s="37" customFormat="1" ht="26.25" x14ac:dyDescent="0.25">
      <c r="B177" s="38">
        <v>176</v>
      </c>
      <c r="C177" s="39">
        <v>2023</v>
      </c>
      <c r="D177" s="40" t="s">
        <v>1507</v>
      </c>
      <c r="E177" s="41" t="s">
        <v>324</v>
      </c>
      <c r="F177" s="40" t="s">
        <v>97</v>
      </c>
      <c r="G177" s="40" t="s">
        <v>98</v>
      </c>
      <c r="H177" s="41" t="s">
        <v>1508</v>
      </c>
      <c r="I177" s="25" t="s">
        <v>1509</v>
      </c>
      <c r="J177" s="42" t="s">
        <v>1128</v>
      </c>
      <c r="K177" s="42" t="s">
        <v>1510</v>
      </c>
      <c r="L177" s="26">
        <v>53015735</v>
      </c>
      <c r="M177" s="43" t="s">
        <v>1511</v>
      </c>
      <c r="N177" s="44" t="s">
        <v>1252</v>
      </c>
      <c r="O177" s="45">
        <f>18750000+5750000</f>
        <v>24500000</v>
      </c>
      <c r="P177" s="44">
        <v>44986</v>
      </c>
      <c r="Q177" s="43" t="s">
        <v>1512</v>
      </c>
      <c r="R177" s="46">
        <v>44992</v>
      </c>
      <c r="S177" s="45" t="s">
        <v>162</v>
      </c>
      <c r="T177" s="46">
        <v>44992</v>
      </c>
      <c r="U177" s="45">
        <v>18750000</v>
      </c>
      <c r="V177" s="43" t="s">
        <v>1513</v>
      </c>
      <c r="W177" s="44" t="s">
        <v>1514</v>
      </c>
      <c r="X177" s="47">
        <f>18750000+5750000</f>
        <v>24500000</v>
      </c>
      <c r="Y177" s="46">
        <v>45220</v>
      </c>
      <c r="Z177" s="48" t="s">
        <v>109</v>
      </c>
      <c r="AA177" s="49">
        <v>45078</v>
      </c>
      <c r="AB177" s="48" t="s">
        <v>1515</v>
      </c>
      <c r="AC177" s="26">
        <v>1000323287</v>
      </c>
      <c r="AD177" s="48" t="s">
        <v>1516</v>
      </c>
      <c r="AE177" s="49">
        <v>45083</v>
      </c>
      <c r="AF177" s="49">
        <v>45209</v>
      </c>
      <c r="AG177" s="45">
        <v>5750000</v>
      </c>
      <c r="AH177" s="50">
        <f>U177+AG177</f>
        <v>24500000</v>
      </c>
      <c r="AI177" s="48" t="s">
        <v>1516</v>
      </c>
      <c r="AJ177" s="49">
        <v>45219</v>
      </c>
      <c r="AK177" s="49">
        <v>45209</v>
      </c>
      <c r="AL177" s="42" t="s">
        <v>1517</v>
      </c>
      <c r="AM177" s="48" t="s">
        <v>1516</v>
      </c>
      <c r="AN177" s="49">
        <v>45219</v>
      </c>
      <c r="AO177" s="38"/>
      <c r="AP177" s="38"/>
      <c r="AQ177" s="38"/>
      <c r="AR177" s="38"/>
      <c r="AS177" s="38"/>
      <c r="AT177" s="51"/>
      <c r="AU177" s="52"/>
      <c r="AV177" s="53">
        <v>45291</v>
      </c>
      <c r="AW177" s="41" t="s">
        <v>137</v>
      </c>
      <c r="AX177" s="40" t="s">
        <v>529</v>
      </c>
      <c r="AY177" s="54">
        <v>20235920002833</v>
      </c>
    </row>
    <row r="178" spans="2:51" s="37" customFormat="1" ht="26.25" x14ac:dyDescent="0.25">
      <c r="B178" s="38">
        <v>177</v>
      </c>
      <c r="C178" s="39">
        <v>2023</v>
      </c>
      <c r="D178" s="40" t="s">
        <v>1518</v>
      </c>
      <c r="E178" s="41" t="s">
        <v>155</v>
      </c>
      <c r="F178" s="40" t="s">
        <v>97</v>
      </c>
      <c r="G178" s="40" t="s">
        <v>98</v>
      </c>
      <c r="H178" s="41" t="s">
        <v>1519</v>
      </c>
      <c r="I178" s="25" t="s">
        <v>1520</v>
      </c>
      <c r="J178" s="42" t="s">
        <v>1521</v>
      </c>
      <c r="K178" s="42" t="s">
        <v>1522</v>
      </c>
      <c r="L178" s="26">
        <v>1016052767</v>
      </c>
      <c r="M178" s="43" t="s">
        <v>1523</v>
      </c>
      <c r="N178" s="44" t="s">
        <v>1524</v>
      </c>
      <c r="O178" s="45">
        <f>56250000+5750000</f>
        <v>62000000</v>
      </c>
      <c r="P178" s="44">
        <v>44992</v>
      </c>
      <c r="Q178" s="43" t="s">
        <v>1525</v>
      </c>
      <c r="R178" s="46">
        <v>44992</v>
      </c>
      <c r="S178" s="45" t="s">
        <v>162</v>
      </c>
      <c r="T178" s="46">
        <v>44992</v>
      </c>
      <c r="U178" s="45">
        <v>18750000</v>
      </c>
      <c r="V178" s="43" t="s">
        <v>1526</v>
      </c>
      <c r="W178" s="44" t="s">
        <v>1527</v>
      </c>
      <c r="X178" s="47">
        <f>18750000+5750000</f>
        <v>24500000</v>
      </c>
      <c r="Y178" s="46">
        <v>45220</v>
      </c>
      <c r="Z178" s="48" t="s">
        <v>109</v>
      </c>
      <c r="AA178" s="49"/>
      <c r="AB178" s="48"/>
      <c r="AC178" s="26"/>
      <c r="AD178" s="48"/>
      <c r="AE178" s="49"/>
      <c r="AF178" s="49">
        <v>45212</v>
      </c>
      <c r="AG178" s="45">
        <v>5750000</v>
      </c>
      <c r="AH178" s="50">
        <f>U178+AG178</f>
        <v>24500000</v>
      </c>
      <c r="AI178" s="48" t="s">
        <v>1528</v>
      </c>
      <c r="AJ178" s="49">
        <v>45226</v>
      </c>
      <c r="AK178" s="49">
        <v>45212</v>
      </c>
      <c r="AL178" s="42" t="s">
        <v>1517</v>
      </c>
      <c r="AM178" s="48" t="s">
        <v>1528</v>
      </c>
      <c r="AN178" s="49">
        <v>45226</v>
      </c>
      <c r="AO178" s="38"/>
      <c r="AP178" s="38"/>
      <c r="AQ178" s="38"/>
      <c r="AR178" s="38"/>
      <c r="AS178" s="38"/>
      <c r="AT178" s="51"/>
      <c r="AU178" s="52"/>
      <c r="AV178" s="53">
        <v>45291</v>
      </c>
      <c r="AW178" s="41" t="s">
        <v>56</v>
      </c>
      <c r="AX178" s="40" t="s">
        <v>145</v>
      </c>
      <c r="AY178" s="54">
        <v>20235920001803</v>
      </c>
    </row>
    <row r="179" spans="2:51" s="37" customFormat="1" ht="26.25" x14ac:dyDescent="0.25">
      <c r="B179" s="38">
        <v>178</v>
      </c>
      <c r="C179" s="39">
        <v>2023</v>
      </c>
      <c r="D179" s="40" t="s">
        <v>1529</v>
      </c>
      <c r="E179" s="41" t="s">
        <v>199</v>
      </c>
      <c r="F179" s="40" t="s">
        <v>97</v>
      </c>
      <c r="G179" s="40" t="s">
        <v>98</v>
      </c>
      <c r="H179" s="41" t="s">
        <v>1530</v>
      </c>
      <c r="I179" s="25" t="s">
        <v>1531</v>
      </c>
      <c r="J179" s="42" t="s">
        <v>1532</v>
      </c>
      <c r="K179" s="42" t="s">
        <v>1533</v>
      </c>
      <c r="L179" s="26">
        <v>79538248</v>
      </c>
      <c r="M179" s="43" t="s">
        <v>1534</v>
      </c>
      <c r="N179" s="44" t="s">
        <v>1174</v>
      </c>
      <c r="O179" s="45">
        <f>37500000+5833333</f>
        <v>43333333</v>
      </c>
      <c r="P179" s="44">
        <v>44986</v>
      </c>
      <c r="Q179" s="43" t="s">
        <v>1535</v>
      </c>
      <c r="R179" s="46">
        <v>44991</v>
      </c>
      <c r="S179" s="45" t="s">
        <v>162</v>
      </c>
      <c r="T179" s="46">
        <v>44991</v>
      </c>
      <c r="U179" s="45">
        <v>18750000</v>
      </c>
      <c r="V179" s="43" t="s">
        <v>1536</v>
      </c>
      <c r="W179" s="44" t="s">
        <v>1485</v>
      </c>
      <c r="X179" s="47">
        <f>18750000+5833333</f>
        <v>24583333</v>
      </c>
      <c r="Y179" s="46">
        <v>45219</v>
      </c>
      <c r="Z179" s="48" t="s">
        <v>109</v>
      </c>
      <c r="AA179" s="49"/>
      <c r="AB179" s="48"/>
      <c r="AC179" s="26"/>
      <c r="AD179" s="48"/>
      <c r="AE179" s="49"/>
      <c r="AF179" s="49">
        <v>45219</v>
      </c>
      <c r="AG179" s="45">
        <v>5833333</v>
      </c>
      <c r="AH179" s="50">
        <f>U179+AG179</f>
        <v>24583333</v>
      </c>
      <c r="AI179" s="48" t="s">
        <v>1537</v>
      </c>
      <c r="AJ179" s="49">
        <v>45225</v>
      </c>
      <c r="AK179" s="49">
        <v>45219</v>
      </c>
      <c r="AL179" s="42" t="s">
        <v>1256</v>
      </c>
      <c r="AM179" s="48" t="s">
        <v>1537</v>
      </c>
      <c r="AN179" s="49">
        <v>45225</v>
      </c>
      <c r="AO179" s="38"/>
      <c r="AP179" s="38"/>
      <c r="AQ179" s="38"/>
      <c r="AR179" s="38"/>
      <c r="AS179" s="38"/>
      <c r="AT179" s="51"/>
      <c r="AU179" s="52"/>
      <c r="AV179" s="53">
        <v>45291</v>
      </c>
      <c r="AW179" s="41" t="s">
        <v>56</v>
      </c>
      <c r="AX179" s="40" t="s">
        <v>271</v>
      </c>
      <c r="AY179" s="54">
        <v>20235920002983</v>
      </c>
    </row>
    <row r="180" spans="2:51" s="37" customFormat="1" ht="26.25" x14ac:dyDescent="0.25">
      <c r="B180" s="38">
        <v>179</v>
      </c>
      <c r="C180" s="39">
        <v>2023</v>
      </c>
      <c r="D180" s="40" t="s">
        <v>1538</v>
      </c>
      <c r="E180" s="41" t="s">
        <v>199</v>
      </c>
      <c r="F180" s="40" t="s">
        <v>97</v>
      </c>
      <c r="G180" s="40" t="s">
        <v>98</v>
      </c>
      <c r="H180" s="41" t="s">
        <v>1539</v>
      </c>
      <c r="I180" s="25" t="s">
        <v>1540</v>
      </c>
      <c r="J180" s="42" t="s">
        <v>1541</v>
      </c>
      <c r="K180" s="42" t="s">
        <v>1542</v>
      </c>
      <c r="L180" s="26">
        <v>80876234</v>
      </c>
      <c r="M180" s="43" t="s">
        <v>1543</v>
      </c>
      <c r="N180" s="44" t="s">
        <v>1308</v>
      </c>
      <c r="O180" s="45">
        <f>82500000+13383333</f>
        <v>95883333</v>
      </c>
      <c r="P180" s="44">
        <v>44986</v>
      </c>
      <c r="Q180" s="43" t="s">
        <v>1544</v>
      </c>
      <c r="R180" s="46">
        <v>44988</v>
      </c>
      <c r="S180" s="45" t="s">
        <v>162</v>
      </c>
      <c r="T180" s="46">
        <v>44988</v>
      </c>
      <c r="U180" s="45">
        <v>41250000</v>
      </c>
      <c r="V180" s="43" t="s">
        <v>1545</v>
      </c>
      <c r="W180" s="44" t="s">
        <v>1546</v>
      </c>
      <c r="X180" s="47">
        <f>41250000+13383333</f>
        <v>54633333</v>
      </c>
      <c r="Y180" s="46">
        <v>45216</v>
      </c>
      <c r="Z180" s="48" t="s">
        <v>109</v>
      </c>
      <c r="AA180" s="49"/>
      <c r="AB180" s="48"/>
      <c r="AC180" s="26"/>
      <c r="AD180" s="48"/>
      <c r="AE180" s="49"/>
      <c r="AF180" s="49">
        <v>45210</v>
      </c>
      <c r="AG180" s="45">
        <v>13383333</v>
      </c>
      <c r="AH180" s="50">
        <f>U180+AG180</f>
        <v>54633333</v>
      </c>
      <c r="AI180" s="48" t="s">
        <v>1547</v>
      </c>
      <c r="AJ180" s="49">
        <v>45225</v>
      </c>
      <c r="AK180" s="49">
        <v>45210</v>
      </c>
      <c r="AL180" s="42" t="s">
        <v>1311</v>
      </c>
      <c r="AM180" s="48" t="s">
        <v>1547</v>
      </c>
      <c r="AN180" s="49">
        <v>45225</v>
      </c>
      <c r="AO180" s="38"/>
      <c r="AP180" s="38"/>
      <c r="AQ180" s="38"/>
      <c r="AR180" s="38"/>
      <c r="AS180" s="38"/>
      <c r="AT180" s="51"/>
      <c r="AU180" s="52"/>
      <c r="AV180" s="53">
        <v>45291</v>
      </c>
      <c r="AW180" s="41" t="s">
        <v>56</v>
      </c>
      <c r="AX180" s="40" t="s">
        <v>309</v>
      </c>
      <c r="AY180" s="54">
        <v>20235920004783</v>
      </c>
    </row>
    <row r="181" spans="2:51" s="37" customFormat="1" ht="26.25" x14ac:dyDescent="0.25">
      <c r="B181" s="38">
        <v>180</v>
      </c>
      <c r="C181" s="39">
        <v>2023</v>
      </c>
      <c r="D181" s="40" t="s">
        <v>1548</v>
      </c>
      <c r="E181" s="41" t="s">
        <v>199</v>
      </c>
      <c r="F181" s="40" t="s">
        <v>97</v>
      </c>
      <c r="G181" s="40" t="s">
        <v>98</v>
      </c>
      <c r="H181" s="41" t="s">
        <v>1549</v>
      </c>
      <c r="I181" s="25" t="s">
        <v>1550</v>
      </c>
      <c r="J181" s="42" t="s">
        <v>1551</v>
      </c>
      <c r="K181" s="42" t="s">
        <v>1552</v>
      </c>
      <c r="L181" s="26">
        <v>1015406573</v>
      </c>
      <c r="M181" s="43" t="s">
        <v>1553</v>
      </c>
      <c r="N181" s="44" t="s">
        <v>1252</v>
      </c>
      <c r="O181" s="45">
        <f>101250000+6300000</f>
        <v>107550000</v>
      </c>
      <c r="P181" s="44">
        <v>44986</v>
      </c>
      <c r="Q181" s="43" t="s">
        <v>1554</v>
      </c>
      <c r="R181" s="46">
        <v>44991</v>
      </c>
      <c r="S181" s="45" t="s">
        <v>162</v>
      </c>
      <c r="T181" s="46">
        <v>44991</v>
      </c>
      <c r="U181" s="45">
        <v>20250000</v>
      </c>
      <c r="V181" s="43" t="s">
        <v>1555</v>
      </c>
      <c r="W181" s="44" t="s">
        <v>1556</v>
      </c>
      <c r="X181" s="47">
        <f>20250000+6300000</f>
        <v>26550000</v>
      </c>
      <c r="Y181" s="46">
        <v>45219</v>
      </c>
      <c r="Z181" s="48" t="s">
        <v>109</v>
      </c>
      <c r="AA181" s="49"/>
      <c r="AB181" s="48"/>
      <c r="AC181" s="26"/>
      <c r="AD181" s="48"/>
      <c r="AE181" s="49"/>
      <c r="AF181" s="49">
        <v>45211</v>
      </c>
      <c r="AG181" s="45">
        <v>6300000</v>
      </c>
      <c r="AH181" s="50">
        <f>U181+AG181</f>
        <v>26550000</v>
      </c>
      <c r="AI181" s="48" t="s">
        <v>1554</v>
      </c>
      <c r="AJ181" s="49">
        <v>45219</v>
      </c>
      <c r="AK181" s="49">
        <v>45211</v>
      </c>
      <c r="AL181" s="42" t="s">
        <v>1256</v>
      </c>
      <c r="AM181" s="48" t="s">
        <v>1554</v>
      </c>
      <c r="AN181" s="49">
        <v>45219</v>
      </c>
      <c r="AO181" s="38"/>
      <c r="AP181" s="38"/>
      <c r="AQ181" s="38"/>
      <c r="AR181" s="38"/>
      <c r="AS181" s="38"/>
      <c r="AT181" s="51"/>
      <c r="AU181" s="52"/>
      <c r="AV181" s="53">
        <v>45291</v>
      </c>
      <c r="AW181" s="41" t="s">
        <v>56</v>
      </c>
      <c r="AX181" s="40" t="s">
        <v>1257</v>
      </c>
      <c r="AY181" s="54">
        <v>20235920009173</v>
      </c>
    </row>
    <row r="182" spans="2:51" s="37" customFormat="1" ht="26.25" x14ac:dyDescent="0.25">
      <c r="B182" s="38">
        <v>181</v>
      </c>
      <c r="C182" s="39">
        <v>2023</v>
      </c>
      <c r="D182" s="40" t="s">
        <v>1557</v>
      </c>
      <c r="E182" s="41" t="s">
        <v>518</v>
      </c>
      <c r="F182" s="40" t="s">
        <v>97</v>
      </c>
      <c r="G182" s="40" t="s">
        <v>98</v>
      </c>
      <c r="H182" s="41" t="s">
        <v>1558</v>
      </c>
      <c r="I182" s="25" t="s">
        <v>1559</v>
      </c>
      <c r="J182" s="42" t="s">
        <v>563</v>
      </c>
      <c r="K182" s="42" t="s">
        <v>1560</v>
      </c>
      <c r="L182" s="26">
        <v>1016085440</v>
      </c>
      <c r="M182" s="43" t="s">
        <v>1561</v>
      </c>
      <c r="N182" s="44" t="s">
        <v>1562</v>
      </c>
      <c r="O182" s="45">
        <f>38790000+12068000</f>
        <v>50858000</v>
      </c>
      <c r="P182" s="44">
        <v>44987</v>
      </c>
      <c r="Q182" s="43" t="s">
        <v>1563</v>
      </c>
      <c r="R182" s="46">
        <v>44991</v>
      </c>
      <c r="S182" s="45" t="s">
        <v>162</v>
      </c>
      <c r="T182" s="46">
        <v>44991</v>
      </c>
      <c r="U182" s="45">
        <v>38790000</v>
      </c>
      <c r="V182" s="43" t="s">
        <v>1564</v>
      </c>
      <c r="W182" s="44" t="s">
        <v>1565</v>
      </c>
      <c r="X182" s="47">
        <f>38790000+12068000</f>
        <v>50858000</v>
      </c>
      <c r="Y182" s="46">
        <v>45219</v>
      </c>
      <c r="Z182" s="48" t="s">
        <v>109</v>
      </c>
      <c r="AA182" s="49"/>
      <c r="AB182" s="48"/>
      <c r="AC182" s="26"/>
      <c r="AD182" s="48"/>
      <c r="AE182" s="49"/>
      <c r="AF182" s="49">
        <v>45210</v>
      </c>
      <c r="AG182" s="45">
        <v>12068000</v>
      </c>
      <c r="AH182" s="50">
        <f>U182+AG182</f>
        <v>50858000</v>
      </c>
      <c r="AI182" s="48" t="s">
        <v>1563</v>
      </c>
      <c r="AJ182" s="49">
        <v>45216</v>
      </c>
      <c r="AK182" s="49">
        <v>45210</v>
      </c>
      <c r="AL182" s="42" t="s">
        <v>1256</v>
      </c>
      <c r="AM182" s="48" t="s">
        <v>1563</v>
      </c>
      <c r="AN182" s="49">
        <v>45216</v>
      </c>
      <c r="AO182" s="38"/>
      <c r="AP182" s="38"/>
      <c r="AQ182" s="38"/>
      <c r="AR182" s="38"/>
      <c r="AS182" s="38"/>
      <c r="AT182" s="51"/>
      <c r="AU182" s="52"/>
      <c r="AV182" s="53">
        <v>45291</v>
      </c>
      <c r="AW182" s="41" t="s">
        <v>56</v>
      </c>
      <c r="AX182" s="40" t="s">
        <v>566</v>
      </c>
      <c r="AY182" s="54">
        <v>20235920002973</v>
      </c>
    </row>
    <row r="183" spans="2:51" s="37" customFormat="1" ht="26.25" x14ac:dyDescent="0.25">
      <c r="B183" s="38">
        <v>182</v>
      </c>
      <c r="C183" s="39">
        <v>2023</v>
      </c>
      <c r="D183" s="40" t="s">
        <v>1566</v>
      </c>
      <c r="E183" s="41" t="s">
        <v>96</v>
      </c>
      <c r="F183" s="40" t="s">
        <v>97</v>
      </c>
      <c r="G183" s="40" t="s">
        <v>98</v>
      </c>
      <c r="H183" s="41" t="s">
        <v>1567</v>
      </c>
      <c r="I183" s="25" t="s">
        <v>1568</v>
      </c>
      <c r="J183" s="42" t="s">
        <v>1569</v>
      </c>
      <c r="K183" s="42" t="s">
        <v>566</v>
      </c>
      <c r="L183" s="26">
        <v>1010179168</v>
      </c>
      <c r="M183" s="43" t="s">
        <v>1570</v>
      </c>
      <c r="N183" s="44" t="s">
        <v>1571</v>
      </c>
      <c r="O183" s="45">
        <f>49308000+19958000</f>
        <v>69266000</v>
      </c>
      <c r="P183" s="44">
        <v>44988</v>
      </c>
      <c r="Q183" s="43" t="s">
        <v>1572</v>
      </c>
      <c r="R183" s="46">
        <v>44991</v>
      </c>
      <c r="S183" s="45" t="s">
        <v>1573</v>
      </c>
      <c r="T183" s="46">
        <v>44991</v>
      </c>
      <c r="U183" s="45">
        <v>49308000</v>
      </c>
      <c r="V183" s="43" t="s">
        <v>1574</v>
      </c>
      <c r="W183" s="44" t="s">
        <v>1575</v>
      </c>
      <c r="X183" s="47">
        <f>49308000+19958000</f>
        <v>69266000</v>
      </c>
      <c r="Y183" s="46">
        <v>45204</v>
      </c>
      <c r="Z183" s="48" t="s">
        <v>109</v>
      </c>
      <c r="AA183" s="49"/>
      <c r="AB183" s="48"/>
      <c r="AC183" s="26"/>
      <c r="AD183" s="43"/>
      <c r="AE183" s="49"/>
      <c r="AF183" s="49">
        <v>45204</v>
      </c>
      <c r="AG183" s="45">
        <v>19958000</v>
      </c>
      <c r="AH183" s="50">
        <f>U183+AG183</f>
        <v>69266000</v>
      </c>
      <c r="AI183" s="48" t="s">
        <v>1576</v>
      </c>
      <c r="AJ183" s="49">
        <v>45205</v>
      </c>
      <c r="AK183" s="49">
        <v>45204</v>
      </c>
      <c r="AL183" s="42" t="s">
        <v>1012</v>
      </c>
      <c r="AM183" s="48" t="s">
        <v>1576</v>
      </c>
      <c r="AN183" s="49">
        <v>45205</v>
      </c>
      <c r="AO183" s="38"/>
      <c r="AP183" s="38"/>
      <c r="AQ183" s="38"/>
      <c r="AR183" s="38"/>
      <c r="AS183" s="38"/>
      <c r="AT183" s="51"/>
      <c r="AU183" s="52"/>
      <c r="AV183" s="53">
        <v>45290</v>
      </c>
      <c r="AW183" s="41" t="s">
        <v>56</v>
      </c>
      <c r="AX183" s="40" t="s">
        <v>652</v>
      </c>
      <c r="AY183" s="54">
        <v>20235920008843</v>
      </c>
    </row>
    <row r="184" spans="2:51" s="37" customFormat="1" ht="26.25" x14ac:dyDescent="0.25">
      <c r="B184" s="38">
        <v>183</v>
      </c>
      <c r="C184" s="39">
        <v>2023</v>
      </c>
      <c r="D184" s="40" t="s">
        <v>1577</v>
      </c>
      <c r="E184" s="41" t="s">
        <v>199</v>
      </c>
      <c r="F184" s="40" t="s">
        <v>97</v>
      </c>
      <c r="G184" s="40" t="s">
        <v>98</v>
      </c>
      <c r="H184" s="41" t="s">
        <v>1578</v>
      </c>
      <c r="I184" s="25" t="s">
        <v>1579</v>
      </c>
      <c r="J184" s="42" t="s">
        <v>995</v>
      </c>
      <c r="K184" s="42" t="s">
        <v>1580</v>
      </c>
      <c r="L184" s="26">
        <v>1026298163</v>
      </c>
      <c r="M184" s="43">
        <v>1014</v>
      </c>
      <c r="N184" s="44">
        <v>44972</v>
      </c>
      <c r="O184" s="45">
        <v>67800000</v>
      </c>
      <c r="P184" s="44">
        <v>44991</v>
      </c>
      <c r="Q184" s="43" t="s">
        <v>1581</v>
      </c>
      <c r="R184" s="46">
        <v>44992</v>
      </c>
      <c r="S184" s="45" t="s">
        <v>162</v>
      </c>
      <c r="T184" s="46">
        <v>44992</v>
      </c>
      <c r="U184" s="45">
        <v>33900000</v>
      </c>
      <c r="V184" s="43">
        <v>1047</v>
      </c>
      <c r="W184" s="44">
        <v>44992</v>
      </c>
      <c r="X184" s="47">
        <v>33900000</v>
      </c>
      <c r="Y184" s="46">
        <v>45220</v>
      </c>
      <c r="Z184" s="48" t="s">
        <v>120</v>
      </c>
      <c r="AA184" s="49" t="s">
        <v>121</v>
      </c>
      <c r="AB184" s="48" t="s">
        <v>121</v>
      </c>
      <c r="AC184" s="26" t="s">
        <v>121</v>
      </c>
      <c r="AD184" s="48" t="s">
        <v>121</v>
      </c>
      <c r="AE184" s="49" t="s">
        <v>121</v>
      </c>
      <c r="AF184" s="48" t="s">
        <v>121</v>
      </c>
      <c r="AG184" s="45" t="s">
        <v>121</v>
      </c>
      <c r="AH184" s="50" t="s">
        <v>121</v>
      </c>
      <c r="AI184" s="48" t="s">
        <v>121</v>
      </c>
      <c r="AJ184" s="48" t="s">
        <v>121</v>
      </c>
      <c r="AK184" s="48" t="s">
        <v>121</v>
      </c>
      <c r="AL184" s="42" t="s">
        <v>121</v>
      </c>
      <c r="AM184" s="48" t="s">
        <v>121</v>
      </c>
      <c r="AN184" s="48" t="s">
        <v>121</v>
      </c>
      <c r="AO184" s="38" t="s">
        <v>121</v>
      </c>
      <c r="AP184" s="38" t="s">
        <v>121</v>
      </c>
      <c r="AQ184" s="38" t="s">
        <v>121</v>
      </c>
      <c r="AR184" s="38" t="s">
        <v>121</v>
      </c>
      <c r="AS184" s="38" t="s">
        <v>121</v>
      </c>
      <c r="AT184" s="51" t="s">
        <v>121</v>
      </c>
      <c r="AU184" s="52" t="s">
        <v>121</v>
      </c>
      <c r="AV184" s="38" t="s">
        <v>121</v>
      </c>
      <c r="AW184" s="41" t="s">
        <v>122</v>
      </c>
      <c r="AX184" s="40" t="s">
        <v>566</v>
      </c>
      <c r="AY184" s="54">
        <v>20235920002993</v>
      </c>
    </row>
    <row r="185" spans="2:51" s="37" customFormat="1" ht="26.25" x14ac:dyDescent="0.25">
      <c r="B185" s="38">
        <v>184</v>
      </c>
      <c r="C185" s="39">
        <v>2023</v>
      </c>
      <c r="D185" s="40" t="s">
        <v>1582</v>
      </c>
      <c r="E185" s="41" t="s">
        <v>199</v>
      </c>
      <c r="F185" s="40" t="s">
        <v>97</v>
      </c>
      <c r="G185" s="40" t="s">
        <v>98</v>
      </c>
      <c r="H185" s="41" t="s">
        <v>1583</v>
      </c>
      <c r="I185" s="25" t="s">
        <v>1584</v>
      </c>
      <c r="J185" s="42" t="s">
        <v>1160</v>
      </c>
      <c r="K185" s="42" t="s">
        <v>1585</v>
      </c>
      <c r="L185" s="26">
        <v>1030533242</v>
      </c>
      <c r="M185" s="43" t="s">
        <v>1586</v>
      </c>
      <c r="N185" s="44" t="s">
        <v>1252</v>
      </c>
      <c r="O185" s="45">
        <f>90000000+14600000</f>
        <v>104600000</v>
      </c>
      <c r="P185" s="44">
        <v>44986</v>
      </c>
      <c r="Q185" s="43" t="s">
        <v>1587</v>
      </c>
      <c r="R185" s="46">
        <v>44988</v>
      </c>
      <c r="S185" s="45" t="s">
        <v>162</v>
      </c>
      <c r="T185" s="46">
        <v>44988</v>
      </c>
      <c r="U185" s="45">
        <v>45000000</v>
      </c>
      <c r="V185" s="43" t="s">
        <v>1588</v>
      </c>
      <c r="W185" s="44" t="s">
        <v>1310</v>
      </c>
      <c r="X185" s="47">
        <f>45000000+14600000</f>
        <v>59600000</v>
      </c>
      <c r="Y185" s="46">
        <v>45216</v>
      </c>
      <c r="Z185" s="48" t="s">
        <v>109</v>
      </c>
      <c r="AA185" s="49"/>
      <c r="AB185" s="48"/>
      <c r="AC185" s="26"/>
      <c r="AD185" s="48"/>
      <c r="AE185" s="49"/>
      <c r="AF185" s="49">
        <v>45212</v>
      </c>
      <c r="AG185" s="45">
        <v>14600000</v>
      </c>
      <c r="AH185" s="50">
        <f>U185+AG185</f>
        <v>59600000</v>
      </c>
      <c r="AI185" s="48" t="s">
        <v>1587</v>
      </c>
      <c r="AJ185" s="49">
        <v>45218</v>
      </c>
      <c r="AK185" s="49">
        <v>45212</v>
      </c>
      <c r="AL185" s="42" t="s">
        <v>1311</v>
      </c>
      <c r="AM185" s="48" t="s">
        <v>1587</v>
      </c>
      <c r="AN185" s="49">
        <v>45218</v>
      </c>
      <c r="AO185" s="38"/>
      <c r="AP185" s="38"/>
      <c r="AQ185" s="38"/>
      <c r="AR185" s="38"/>
      <c r="AS185" s="38"/>
      <c r="AT185" s="51"/>
      <c r="AU185" s="52"/>
      <c r="AV185" s="53">
        <v>45291</v>
      </c>
      <c r="AW185" s="41" t="s">
        <v>56</v>
      </c>
      <c r="AX185" s="40" t="s">
        <v>145</v>
      </c>
      <c r="AY185" s="54">
        <v>20235920003603</v>
      </c>
    </row>
    <row r="186" spans="2:51" s="37" customFormat="1" ht="26.25" x14ac:dyDescent="0.25">
      <c r="B186" s="38">
        <v>185</v>
      </c>
      <c r="C186" s="39">
        <v>2023</v>
      </c>
      <c r="D186" s="40" t="s">
        <v>1589</v>
      </c>
      <c r="E186" s="41" t="s">
        <v>128</v>
      </c>
      <c r="F186" s="40" t="s">
        <v>97</v>
      </c>
      <c r="G186" s="40" t="s">
        <v>98</v>
      </c>
      <c r="H186" s="41" t="s">
        <v>1590</v>
      </c>
      <c r="I186" s="25" t="s">
        <v>1591</v>
      </c>
      <c r="J186" s="42" t="s">
        <v>1592</v>
      </c>
      <c r="K186" s="42" t="s">
        <v>1593</v>
      </c>
      <c r="L186" s="26">
        <v>1000518854</v>
      </c>
      <c r="M186" s="43" t="s">
        <v>1594</v>
      </c>
      <c r="N186" s="44" t="s">
        <v>1252</v>
      </c>
      <c r="O186" s="45">
        <f>28200000+4386667</f>
        <v>32586667</v>
      </c>
      <c r="P186" s="44">
        <v>44988</v>
      </c>
      <c r="Q186" s="43" t="s">
        <v>1595</v>
      </c>
      <c r="R186" s="46">
        <v>44991</v>
      </c>
      <c r="S186" s="45" t="s">
        <v>162</v>
      </c>
      <c r="T186" s="46">
        <v>44991</v>
      </c>
      <c r="U186" s="45">
        <v>14100000</v>
      </c>
      <c r="V186" s="43" t="s">
        <v>1596</v>
      </c>
      <c r="W186" s="44" t="s">
        <v>1565</v>
      </c>
      <c r="X186" s="47">
        <f>14100000+4386667</f>
        <v>18486667</v>
      </c>
      <c r="Y186" s="46">
        <v>45219</v>
      </c>
      <c r="Z186" s="48" t="s">
        <v>109</v>
      </c>
      <c r="AA186" s="49"/>
      <c r="AB186" s="48"/>
      <c r="AC186" s="26"/>
      <c r="AD186" s="48"/>
      <c r="AE186" s="49"/>
      <c r="AF186" s="49">
        <v>45209</v>
      </c>
      <c r="AG186" s="45">
        <v>4386667</v>
      </c>
      <c r="AH186" s="50">
        <f>U186+AG186</f>
        <v>18486667</v>
      </c>
      <c r="AI186" s="48" t="s">
        <v>1595</v>
      </c>
      <c r="AJ186" s="49">
        <v>45216</v>
      </c>
      <c r="AK186" s="49">
        <v>45209</v>
      </c>
      <c r="AL186" s="42" t="s">
        <v>1256</v>
      </c>
      <c r="AM186" s="48" t="s">
        <v>1595</v>
      </c>
      <c r="AN186" s="49">
        <v>45216</v>
      </c>
      <c r="AO186" s="38"/>
      <c r="AP186" s="38"/>
      <c r="AQ186" s="38"/>
      <c r="AR186" s="38"/>
      <c r="AS186" s="38"/>
      <c r="AT186" s="51"/>
      <c r="AU186" s="52"/>
      <c r="AV186" s="53">
        <v>45291</v>
      </c>
      <c r="AW186" s="41" t="s">
        <v>56</v>
      </c>
      <c r="AX186" s="40" t="s">
        <v>566</v>
      </c>
      <c r="AY186" s="54">
        <v>20235920002973</v>
      </c>
    </row>
    <row r="187" spans="2:51" s="37" customFormat="1" ht="26.25" x14ac:dyDescent="0.25">
      <c r="B187" s="38">
        <v>186</v>
      </c>
      <c r="C187" s="39">
        <v>2023</v>
      </c>
      <c r="D187" s="40" t="s">
        <v>1597</v>
      </c>
      <c r="E187" s="41" t="s">
        <v>518</v>
      </c>
      <c r="F187" s="40" t="s">
        <v>97</v>
      </c>
      <c r="G187" s="40" t="s">
        <v>98</v>
      </c>
      <c r="H187" s="41" t="s">
        <v>1598</v>
      </c>
      <c r="I187" s="25" t="s">
        <v>1599</v>
      </c>
      <c r="J187" s="42" t="s">
        <v>127</v>
      </c>
      <c r="K187" s="42" t="s">
        <v>1600</v>
      </c>
      <c r="L187" s="26">
        <v>1098636820</v>
      </c>
      <c r="M187" s="43" t="s">
        <v>1601</v>
      </c>
      <c r="N187" s="44" t="s">
        <v>1602</v>
      </c>
      <c r="O187" s="45">
        <f>51000000+15186667</f>
        <v>66186667</v>
      </c>
      <c r="P187" s="44">
        <v>44992</v>
      </c>
      <c r="Q187" s="43" t="s">
        <v>1603</v>
      </c>
      <c r="R187" s="46">
        <v>44994</v>
      </c>
      <c r="S187" s="45" t="s">
        <v>162</v>
      </c>
      <c r="T187" s="46">
        <v>44994</v>
      </c>
      <c r="U187" s="45">
        <v>51000000</v>
      </c>
      <c r="V187" s="43" t="s">
        <v>1604</v>
      </c>
      <c r="W187" s="44" t="s">
        <v>1605</v>
      </c>
      <c r="X187" s="47">
        <f>51000000+15186667</f>
        <v>66186667</v>
      </c>
      <c r="Y187" s="46">
        <v>45222</v>
      </c>
      <c r="Z187" s="48" t="s">
        <v>109</v>
      </c>
      <c r="AA187" s="49">
        <v>45231</v>
      </c>
      <c r="AB187" s="48" t="s">
        <v>1606</v>
      </c>
      <c r="AC187" s="26">
        <v>52776401</v>
      </c>
      <c r="AD187" s="48" t="s">
        <v>708</v>
      </c>
      <c r="AE187" s="49" t="s">
        <v>708</v>
      </c>
      <c r="AF187" s="49">
        <v>45222</v>
      </c>
      <c r="AG187" s="45">
        <v>15186667</v>
      </c>
      <c r="AH187" s="50">
        <f>U187+AG187</f>
        <v>66186667</v>
      </c>
      <c r="AI187" s="48" t="s">
        <v>1607</v>
      </c>
      <c r="AJ187" s="49">
        <v>45291</v>
      </c>
      <c r="AK187" s="49">
        <v>45222</v>
      </c>
      <c r="AL187" s="42" t="s">
        <v>1608</v>
      </c>
      <c r="AM187" s="48" t="s">
        <v>1607</v>
      </c>
      <c r="AN187" s="49">
        <v>45291</v>
      </c>
      <c r="AO187" s="38"/>
      <c r="AP187" s="38"/>
      <c r="AQ187" s="38"/>
      <c r="AR187" s="38"/>
      <c r="AS187" s="38"/>
      <c r="AT187" s="51"/>
      <c r="AU187" s="52"/>
      <c r="AV187" s="53">
        <v>45291</v>
      </c>
      <c r="AW187" s="41" t="s">
        <v>56</v>
      </c>
      <c r="AX187" s="40" t="s">
        <v>111</v>
      </c>
      <c r="AY187" s="54">
        <v>20235920003703</v>
      </c>
    </row>
    <row r="188" spans="2:51" s="37" customFormat="1" ht="26.25" x14ac:dyDescent="0.25">
      <c r="B188" s="38">
        <v>187</v>
      </c>
      <c r="C188" s="39">
        <v>2023</v>
      </c>
      <c r="D188" s="40" t="s">
        <v>1609</v>
      </c>
      <c r="E188" s="41" t="s">
        <v>324</v>
      </c>
      <c r="F188" s="40" t="s">
        <v>97</v>
      </c>
      <c r="G188" s="40" t="s">
        <v>98</v>
      </c>
      <c r="H188" s="41" t="s">
        <v>1610</v>
      </c>
      <c r="I188" s="25" t="s">
        <v>1611</v>
      </c>
      <c r="J188" s="42" t="s">
        <v>1612</v>
      </c>
      <c r="K188" s="42" t="s">
        <v>1613</v>
      </c>
      <c r="L188" s="26">
        <v>1136883488</v>
      </c>
      <c r="M188" s="43" t="s">
        <v>1614</v>
      </c>
      <c r="N188" s="44" t="s">
        <v>1089</v>
      </c>
      <c r="O188" s="45">
        <f>38790000+11723200</f>
        <v>50513200</v>
      </c>
      <c r="P188" s="44">
        <v>44992</v>
      </c>
      <c r="Q188" s="43" t="s">
        <v>1615</v>
      </c>
      <c r="R188" s="46">
        <v>44993</v>
      </c>
      <c r="S188" s="45" t="s">
        <v>162</v>
      </c>
      <c r="T188" s="46">
        <v>44993</v>
      </c>
      <c r="U188" s="45">
        <v>38790000</v>
      </c>
      <c r="V188" s="43" t="s">
        <v>1616</v>
      </c>
      <c r="W188" s="44" t="s">
        <v>1617</v>
      </c>
      <c r="X188" s="47">
        <f>38790000+11723200</f>
        <v>50513200</v>
      </c>
      <c r="Y188" s="46">
        <v>45221</v>
      </c>
      <c r="Z188" s="48" t="s">
        <v>109</v>
      </c>
      <c r="AA188" s="49"/>
      <c r="AB188" s="48"/>
      <c r="AC188" s="26"/>
      <c r="AD188" s="48"/>
      <c r="AE188" s="49"/>
      <c r="AF188" s="49">
        <v>45212</v>
      </c>
      <c r="AG188" s="45">
        <v>11723200</v>
      </c>
      <c r="AH188" s="50">
        <f>U188+AG188</f>
        <v>50513200</v>
      </c>
      <c r="AI188" s="48" t="s">
        <v>1615</v>
      </c>
      <c r="AJ188" s="49">
        <v>45222</v>
      </c>
      <c r="AK188" s="49">
        <v>45212</v>
      </c>
      <c r="AL188" s="42" t="s">
        <v>1618</v>
      </c>
      <c r="AM188" s="48" t="s">
        <v>1615</v>
      </c>
      <c r="AN188" s="49">
        <v>45222</v>
      </c>
      <c r="AO188" s="38"/>
      <c r="AP188" s="38"/>
      <c r="AQ188" s="38"/>
      <c r="AR188" s="38"/>
      <c r="AS188" s="38"/>
      <c r="AT188" s="51"/>
      <c r="AU188" s="52"/>
      <c r="AV188" s="53">
        <v>45291</v>
      </c>
      <c r="AW188" s="41" t="s">
        <v>56</v>
      </c>
      <c r="AX188" s="40" t="s">
        <v>231</v>
      </c>
      <c r="AY188" s="54">
        <v>20235920009003</v>
      </c>
    </row>
    <row r="189" spans="2:51" s="37" customFormat="1" ht="26.25" x14ac:dyDescent="0.25">
      <c r="B189" s="38">
        <v>188</v>
      </c>
      <c r="C189" s="39">
        <v>2023</v>
      </c>
      <c r="D189" s="40" t="s">
        <v>1619</v>
      </c>
      <c r="E189" s="41" t="s">
        <v>324</v>
      </c>
      <c r="F189" s="40" t="s">
        <v>97</v>
      </c>
      <c r="G189" s="40" t="s">
        <v>98</v>
      </c>
      <c r="H189" s="41" t="s">
        <v>1620</v>
      </c>
      <c r="I189" s="25" t="s">
        <v>1621</v>
      </c>
      <c r="J189" s="42" t="s">
        <v>1622</v>
      </c>
      <c r="K189" s="42" t="s">
        <v>1623</v>
      </c>
      <c r="L189" s="26">
        <v>83234514</v>
      </c>
      <c r="M189" s="43" t="s">
        <v>1624</v>
      </c>
      <c r="N189" s="44" t="s">
        <v>1625</v>
      </c>
      <c r="O189" s="45">
        <f>39750000+12013333</f>
        <v>51763333</v>
      </c>
      <c r="P189" s="44">
        <v>44992</v>
      </c>
      <c r="Q189" s="43" t="s">
        <v>1626</v>
      </c>
      <c r="R189" s="46">
        <v>44993</v>
      </c>
      <c r="S189" s="45" t="s">
        <v>162</v>
      </c>
      <c r="T189" s="46">
        <v>44993</v>
      </c>
      <c r="U189" s="45">
        <v>39750000</v>
      </c>
      <c r="V189" s="43" t="s">
        <v>1627</v>
      </c>
      <c r="W189" s="44" t="s">
        <v>1617</v>
      </c>
      <c r="X189" s="47">
        <f>38750000+12013333</f>
        <v>50763333</v>
      </c>
      <c r="Y189" s="46">
        <v>45221</v>
      </c>
      <c r="Z189" s="48" t="s">
        <v>109</v>
      </c>
      <c r="AA189" s="49"/>
      <c r="AB189" s="48"/>
      <c r="AC189" s="26"/>
      <c r="AD189" s="48"/>
      <c r="AE189" s="49"/>
      <c r="AF189" s="49">
        <v>45216</v>
      </c>
      <c r="AG189" s="45">
        <v>12013333</v>
      </c>
      <c r="AH189" s="50">
        <f>U189+AG189</f>
        <v>51763333</v>
      </c>
      <c r="AI189" s="48" t="s">
        <v>1628</v>
      </c>
      <c r="AJ189" s="49">
        <v>45218</v>
      </c>
      <c r="AK189" s="49">
        <v>45216</v>
      </c>
      <c r="AL189" s="42" t="s">
        <v>1618</v>
      </c>
      <c r="AM189" s="48" t="s">
        <v>1628</v>
      </c>
      <c r="AN189" s="49">
        <v>45218</v>
      </c>
      <c r="AO189" s="38"/>
      <c r="AP189" s="38"/>
      <c r="AQ189" s="38"/>
      <c r="AR189" s="38"/>
      <c r="AS189" s="38"/>
      <c r="AT189" s="51"/>
      <c r="AU189" s="52"/>
      <c r="AV189" s="53">
        <v>45291</v>
      </c>
      <c r="AW189" s="41" t="s">
        <v>56</v>
      </c>
      <c r="AX189" s="40" t="s">
        <v>271</v>
      </c>
      <c r="AY189" s="54">
        <v>20235920003803</v>
      </c>
    </row>
    <row r="190" spans="2:51" s="37" customFormat="1" ht="26.25" x14ac:dyDescent="0.25">
      <c r="B190" s="38">
        <v>189</v>
      </c>
      <c r="C190" s="39">
        <v>2023</v>
      </c>
      <c r="D190" s="40" t="s">
        <v>1629</v>
      </c>
      <c r="E190" s="41" t="s">
        <v>153</v>
      </c>
      <c r="F190" s="40" t="s">
        <v>97</v>
      </c>
      <c r="G190" s="40" t="s">
        <v>98</v>
      </c>
      <c r="H190" s="41" t="s">
        <v>1630</v>
      </c>
      <c r="I190" s="25" t="s">
        <v>1631</v>
      </c>
      <c r="J190" s="42" t="s">
        <v>1632</v>
      </c>
      <c r="K190" s="42" t="s">
        <v>1633</v>
      </c>
      <c r="L190" s="26">
        <v>1016011746</v>
      </c>
      <c r="M190" s="43" t="s">
        <v>1634</v>
      </c>
      <c r="N190" s="44" t="s">
        <v>1415</v>
      </c>
      <c r="O190" s="45">
        <f>81810000+5999400</f>
        <v>87809400</v>
      </c>
      <c r="P190" s="44">
        <v>44993</v>
      </c>
      <c r="Q190" s="43" t="s">
        <v>1635</v>
      </c>
      <c r="R190" s="46">
        <v>44995</v>
      </c>
      <c r="S190" s="45" t="s">
        <v>162</v>
      </c>
      <c r="T190" s="46">
        <v>44995</v>
      </c>
      <c r="U190" s="45">
        <v>20452500</v>
      </c>
      <c r="V190" s="43" t="s">
        <v>1636</v>
      </c>
      <c r="W190" s="44" t="s">
        <v>1637</v>
      </c>
      <c r="X190" s="47">
        <f>20452500+5999400</f>
        <v>26451900</v>
      </c>
      <c r="Y190" s="46">
        <v>45223</v>
      </c>
      <c r="Z190" s="48" t="s">
        <v>109</v>
      </c>
      <c r="AA190" s="49"/>
      <c r="AB190" s="48"/>
      <c r="AC190" s="26"/>
      <c r="AD190" s="48"/>
      <c r="AE190" s="49"/>
      <c r="AF190" s="49">
        <v>45217</v>
      </c>
      <c r="AG190" s="45">
        <v>5999400</v>
      </c>
      <c r="AH190" s="50">
        <f>U190+AG190</f>
        <v>26451900</v>
      </c>
      <c r="AI190" s="48" t="s">
        <v>1635</v>
      </c>
      <c r="AJ190" s="49">
        <v>45237</v>
      </c>
      <c r="AK190" s="49">
        <v>45217</v>
      </c>
      <c r="AL190" s="42" t="s">
        <v>1638</v>
      </c>
      <c r="AM190" s="48" t="s">
        <v>1635</v>
      </c>
      <c r="AN190" s="49">
        <v>45237</v>
      </c>
      <c r="AO190" s="38"/>
      <c r="AP190" s="38"/>
      <c r="AQ190" s="38"/>
      <c r="AR190" s="38"/>
      <c r="AS190" s="38"/>
      <c r="AT190" s="51"/>
      <c r="AU190" s="52"/>
      <c r="AV190" s="53">
        <v>45291</v>
      </c>
      <c r="AW190" s="41" t="s">
        <v>56</v>
      </c>
      <c r="AX190" s="40" t="s">
        <v>493</v>
      </c>
      <c r="AY190" s="54">
        <v>20235920003103</v>
      </c>
    </row>
    <row r="191" spans="2:51" s="37" customFormat="1" ht="17.25" customHeight="1" x14ac:dyDescent="0.25">
      <c r="B191" s="38">
        <v>190</v>
      </c>
      <c r="C191" s="39">
        <v>2023</v>
      </c>
      <c r="D191" s="40" t="s">
        <v>1639</v>
      </c>
      <c r="E191" s="41" t="s">
        <v>153</v>
      </c>
      <c r="F191" s="40" t="s">
        <v>97</v>
      </c>
      <c r="G191" s="40" t="s">
        <v>98</v>
      </c>
      <c r="H191" s="41" t="s">
        <v>1640</v>
      </c>
      <c r="I191" s="25" t="s">
        <v>1641</v>
      </c>
      <c r="J191" s="42" t="s">
        <v>1632</v>
      </c>
      <c r="K191" s="42" t="s">
        <v>1642</v>
      </c>
      <c r="L191" s="26">
        <v>1016047939</v>
      </c>
      <c r="M191" s="43" t="s">
        <v>1643</v>
      </c>
      <c r="N191" s="44" t="s">
        <v>1415</v>
      </c>
      <c r="O191" s="45">
        <f>81810000+6090300</f>
        <v>87900300</v>
      </c>
      <c r="P191" s="44">
        <v>44993</v>
      </c>
      <c r="Q191" s="43" t="s">
        <v>1644</v>
      </c>
      <c r="R191" s="46">
        <v>44994</v>
      </c>
      <c r="S191" s="45" t="s">
        <v>162</v>
      </c>
      <c r="T191" s="46">
        <v>44994</v>
      </c>
      <c r="U191" s="45">
        <v>20452500</v>
      </c>
      <c r="V191" s="43" t="s">
        <v>1645</v>
      </c>
      <c r="W191" s="44" t="s">
        <v>1605</v>
      </c>
      <c r="X191" s="47">
        <f>20452500+6090300</f>
        <v>26542800</v>
      </c>
      <c r="Y191" s="46">
        <v>45222</v>
      </c>
      <c r="Z191" s="48" t="s">
        <v>109</v>
      </c>
      <c r="AA191" s="49"/>
      <c r="AB191" s="48"/>
      <c r="AC191" s="26"/>
      <c r="AD191" s="48"/>
      <c r="AE191" s="49"/>
      <c r="AF191" s="49">
        <v>45222</v>
      </c>
      <c r="AG191" s="45">
        <v>6090300</v>
      </c>
      <c r="AH191" s="50">
        <f>U191+AG191</f>
        <v>26542800</v>
      </c>
      <c r="AI191" s="48" t="s">
        <v>1646</v>
      </c>
      <c r="AJ191" s="49">
        <v>45225</v>
      </c>
      <c r="AK191" s="49">
        <v>45222</v>
      </c>
      <c r="AL191" s="42" t="s">
        <v>1608</v>
      </c>
      <c r="AM191" s="48" t="s">
        <v>1646</v>
      </c>
      <c r="AN191" s="49">
        <v>45225</v>
      </c>
      <c r="AO191" s="38"/>
      <c r="AP191" s="38"/>
      <c r="AQ191" s="38"/>
      <c r="AR191" s="38"/>
      <c r="AS191" s="38"/>
      <c r="AT191" s="51"/>
      <c r="AU191" s="52"/>
      <c r="AV191" s="53">
        <v>45291</v>
      </c>
      <c r="AW191" s="41" t="s">
        <v>56</v>
      </c>
      <c r="AX191" s="40" t="s">
        <v>493</v>
      </c>
      <c r="AY191" s="54">
        <v>20235920003113</v>
      </c>
    </row>
    <row r="192" spans="2:51" s="37" customFormat="1" ht="17.25" customHeight="1" x14ac:dyDescent="0.25">
      <c r="B192" s="38">
        <v>191</v>
      </c>
      <c r="C192" s="39">
        <v>2023</v>
      </c>
      <c r="D192" s="40" t="s">
        <v>1647</v>
      </c>
      <c r="E192" s="41" t="s">
        <v>153</v>
      </c>
      <c r="F192" s="40" t="s">
        <v>97</v>
      </c>
      <c r="G192" s="40" t="s">
        <v>98</v>
      </c>
      <c r="H192" s="41" t="s">
        <v>1648</v>
      </c>
      <c r="I192" s="25" t="s">
        <v>1649</v>
      </c>
      <c r="J192" s="42" t="s">
        <v>1365</v>
      </c>
      <c r="K192" s="42" t="s">
        <v>911</v>
      </c>
      <c r="L192" s="26">
        <v>1022933464</v>
      </c>
      <c r="M192" s="43">
        <v>1045</v>
      </c>
      <c r="N192" s="44">
        <v>44979</v>
      </c>
      <c r="O192" s="45">
        <v>30750000</v>
      </c>
      <c r="P192" s="44">
        <v>44993</v>
      </c>
      <c r="Q192" s="43" t="s">
        <v>1650</v>
      </c>
      <c r="R192" s="46">
        <v>44994</v>
      </c>
      <c r="S192" s="45" t="s">
        <v>162</v>
      </c>
      <c r="T192" s="46">
        <v>44994</v>
      </c>
      <c r="U192" s="45">
        <v>30750000</v>
      </c>
      <c r="V192" s="43">
        <v>1057</v>
      </c>
      <c r="W192" s="44">
        <v>44993</v>
      </c>
      <c r="X192" s="47">
        <v>30750000</v>
      </c>
      <c r="Y192" s="46">
        <v>45222</v>
      </c>
      <c r="Z192" s="48" t="s">
        <v>120</v>
      </c>
      <c r="AA192" s="49" t="s">
        <v>121</v>
      </c>
      <c r="AB192" s="48" t="s">
        <v>121</v>
      </c>
      <c r="AC192" s="26" t="s">
        <v>121</v>
      </c>
      <c r="AD192" s="48" t="s">
        <v>121</v>
      </c>
      <c r="AE192" s="49" t="s">
        <v>121</v>
      </c>
      <c r="AF192" s="48" t="s">
        <v>121</v>
      </c>
      <c r="AG192" s="45" t="s">
        <v>121</v>
      </c>
      <c r="AH192" s="50" t="s">
        <v>121</v>
      </c>
      <c r="AI192" s="48" t="s">
        <v>121</v>
      </c>
      <c r="AJ192" s="48" t="s">
        <v>121</v>
      </c>
      <c r="AK192" s="48" t="s">
        <v>121</v>
      </c>
      <c r="AL192" s="42" t="s">
        <v>121</v>
      </c>
      <c r="AM192" s="48" t="s">
        <v>121</v>
      </c>
      <c r="AN192" s="48" t="s">
        <v>121</v>
      </c>
      <c r="AO192" s="38" t="s">
        <v>121</v>
      </c>
      <c r="AP192" s="38" t="s">
        <v>121</v>
      </c>
      <c r="AQ192" s="38" t="s">
        <v>121</v>
      </c>
      <c r="AR192" s="38" t="s">
        <v>121</v>
      </c>
      <c r="AS192" s="38" t="s">
        <v>121</v>
      </c>
      <c r="AT192" s="51" t="s">
        <v>121</v>
      </c>
      <c r="AU192" s="52" t="s">
        <v>121</v>
      </c>
      <c r="AV192" s="38" t="s">
        <v>121</v>
      </c>
      <c r="AW192" s="41" t="s">
        <v>122</v>
      </c>
      <c r="AX192" s="40" t="s">
        <v>493</v>
      </c>
      <c r="AY192" s="54">
        <v>20235920002883</v>
      </c>
    </row>
    <row r="193" spans="2:51" s="37" customFormat="1" ht="26.25" x14ac:dyDescent="0.25">
      <c r="B193" s="38">
        <v>192</v>
      </c>
      <c r="C193" s="39">
        <v>2023</v>
      </c>
      <c r="D193" s="40" t="s">
        <v>1651</v>
      </c>
      <c r="E193" s="41" t="s">
        <v>96</v>
      </c>
      <c r="F193" s="40" t="s">
        <v>97</v>
      </c>
      <c r="G193" s="40" t="s">
        <v>98</v>
      </c>
      <c r="H193" s="41" t="s">
        <v>1652</v>
      </c>
      <c r="I193" s="25" t="s">
        <v>1653</v>
      </c>
      <c r="J193" s="42" t="s">
        <v>1187</v>
      </c>
      <c r="K193" s="42" t="s">
        <v>1654</v>
      </c>
      <c r="L193" s="26">
        <v>52980744</v>
      </c>
      <c r="M193" s="43" t="s">
        <v>1655</v>
      </c>
      <c r="N193" s="44" t="s">
        <v>1524</v>
      </c>
      <c r="O193" s="45">
        <f>54000000+7920000</f>
        <v>61920000</v>
      </c>
      <c r="P193" s="44">
        <v>44992</v>
      </c>
      <c r="Q193" s="43" t="s">
        <v>1656</v>
      </c>
      <c r="R193" s="46">
        <v>44994</v>
      </c>
      <c r="S193" s="45" t="s">
        <v>162</v>
      </c>
      <c r="T193" s="46">
        <v>44995</v>
      </c>
      <c r="U193" s="45">
        <v>27000000</v>
      </c>
      <c r="V193" s="43" t="s">
        <v>1657</v>
      </c>
      <c r="W193" s="44" t="s">
        <v>1658</v>
      </c>
      <c r="X193" s="47">
        <f>27000000+7920000</f>
        <v>34920000</v>
      </c>
      <c r="Y193" s="46">
        <v>45223</v>
      </c>
      <c r="Z193" s="48" t="s">
        <v>109</v>
      </c>
      <c r="AA193" s="49"/>
      <c r="AB193" s="48"/>
      <c r="AC193" s="26"/>
      <c r="AD193" s="48"/>
      <c r="AE193" s="49"/>
      <c r="AF193" s="49">
        <v>45208</v>
      </c>
      <c r="AG193" s="45">
        <v>7920000</v>
      </c>
      <c r="AH193" s="50">
        <f>U193+AG193</f>
        <v>34920000</v>
      </c>
      <c r="AI193" s="48" t="s">
        <v>1659</v>
      </c>
      <c r="AJ193" s="49">
        <v>45212</v>
      </c>
      <c r="AK193" s="49">
        <v>45208</v>
      </c>
      <c r="AL193" s="42" t="s">
        <v>1638</v>
      </c>
      <c r="AM193" s="48" t="s">
        <v>1659</v>
      </c>
      <c r="AN193" s="49">
        <v>45212</v>
      </c>
      <c r="AO193" s="38"/>
      <c r="AP193" s="38"/>
      <c r="AQ193" s="38"/>
      <c r="AR193" s="38"/>
      <c r="AS193" s="38"/>
      <c r="AT193" s="51"/>
      <c r="AU193" s="52"/>
      <c r="AV193" s="53">
        <v>45291</v>
      </c>
      <c r="AW193" s="41" t="s">
        <v>56</v>
      </c>
      <c r="AX193" s="40" t="s">
        <v>145</v>
      </c>
      <c r="AY193" s="54">
        <v>20235920003733</v>
      </c>
    </row>
    <row r="194" spans="2:51" s="37" customFormat="1" ht="26.25" x14ac:dyDescent="0.25">
      <c r="B194" s="38">
        <v>193</v>
      </c>
      <c r="C194" s="39">
        <v>2023</v>
      </c>
      <c r="D194" s="40" t="s">
        <v>1660</v>
      </c>
      <c r="E194" s="41" t="s">
        <v>199</v>
      </c>
      <c r="F194" s="40" t="s">
        <v>97</v>
      </c>
      <c r="G194" s="40" t="s">
        <v>98</v>
      </c>
      <c r="H194" s="41" t="s">
        <v>1661</v>
      </c>
      <c r="I194" s="25" t="s">
        <v>1662</v>
      </c>
      <c r="J194" s="42" t="s">
        <v>257</v>
      </c>
      <c r="K194" s="42" t="s">
        <v>1663</v>
      </c>
      <c r="L194" s="26">
        <v>52759929</v>
      </c>
      <c r="M194" s="43" t="s">
        <v>1664</v>
      </c>
      <c r="N194" s="44" t="s">
        <v>1665</v>
      </c>
      <c r="O194" s="45">
        <f>52500000+7816667</f>
        <v>60316667</v>
      </c>
      <c r="P194" s="44">
        <v>44992</v>
      </c>
      <c r="Q194" s="43" t="s">
        <v>1666</v>
      </c>
      <c r="R194" s="46">
        <v>44993</v>
      </c>
      <c r="S194" s="45" t="s">
        <v>162</v>
      </c>
      <c r="T194" s="46">
        <v>44994</v>
      </c>
      <c r="U194" s="45">
        <v>26250000</v>
      </c>
      <c r="V194" s="43" t="s">
        <v>1667</v>
      </c>
      <c r="W194" s="44" t="s">
        <v>1605</v>
      </c>
      <c r="X194" s="47">
        <f>26250000+7816667</f>
        <v>34066667</v>
      </c>
      <c r="Y194" s="46">
        <v>45222</v>
      </c>
      <c r="Z194" s="48" t="s">
        <v>109</v>
      </c>
      <c r="AA194" s="49"/>
      <c r="AB194" s="48"/>
      <c r="AC194" s="26"/>
      <c r="AD194" s="48"/>
      <c r="AE194" s="49"/>
      <c r="AF194" s="49">
        <v>45222</v>
      </c>
      <c r="AG194" s="45">
        <v>7816667</v>
      </c>
      <c r="AH194" s="50">
        <f>U194+AG194</f>
        <v>34066667</v>
      </c>
      <c r="AI194" s="43" t="s">
        <v>1666</v>
      </c>
      <c r="AJ194" s="49">
        <v>45225</v>
      </c>
      <c r="AK194" s="49">
        <v>45222</v>
      </c>
      <c r="AL194" s="42" t="s">
        <v>1608</v>
      </c>
      <c r="AM194" s="43" t="s">
        <v>1666</v>
      </c>
      <c r="AN194" s="49">
        <v>45225</v>
      </c>
      <c r="AO194" s="38"/>
      <c r="AP194" s="38"/>
      <c r="AQ194" s="38"/>
      <c r="AR194" s="38"/>
      <c r="AS194" s="38"/>
      <c r="AT194" s="51"/>
      <c r="AU194" s="52"/>
      <c r="AV194" s="53">
        <v>45291</v>
      </c>
      <c r="AW194" s="41" t="s">
        <v>56</v>
      </c>
      <c r="AX194" s="40" t="s">
        <v>271</v>
      </c>
      <c r="AY194" s="54">
        <v>20235920002983</v>
      </c>
    </row>
    <row r="195" spans="2:51" s="37" customFormat="1" ht="26.25" x14ac:dyDescent="0.25">
      <c r="B195" s="38">
        <v>194</v>
      </c>
      <c r="C195" s="39">
        <v>2023</v>
      </c>
      <c r="D195" s="40" t="s">
        <v>1668</v>
      </c>
      <c r="E195" s="41" t="s">
        <v>199</v>
      </c>
      <c r="F195" s="40" t="s">
        <v>97</v>
      </c>
      <c r="G195" s="40" t="s">
        <v>98</v>
      </c>
      <c r="H195" s="41" t="s">
        <v>1669</v>
      </c>
      <c r="I195" s="25" t="s">
        <v>1670</v>
      </c>
      <c r="J195" s="42" t="s">
        <v>427</v>
      </c>
      <c r="K195" s="42" t="s">
        <v>1671</v>
      </c>
      <c r="L195" s="26">
        <v>1016076946</v>
      </c>
      <c r="M195" s="43" t="s">
        <v>1672</v>
      </c>
      <c r="N195" s="44" t="s">
        <v>1665</v>
      </c>
      <c r="O195" s="45">
        <f>27000000+7560000</f>
        <v>34560000</v>
      </c>
      <c r="P195" s="44">
        <v>44992</v>
      </c>
      <c r="Q195" s="43" t="s">
        <v>1673</v>
      </c>
      <c r="R195" s="46">
        <v>44994</v>
      </c>
      <c r="S195" s="45" t="s">
        <v>162</v>
      </c>
      <c r="T195" s="46">
        <v>44998</v>
      </c>
      <c r="U195" s="45">
        <v>27000000</v>
      </c>
      <c r="V195" s="43" t="s">
        <v>1674</v>
      </c>
      <c r="W195" s="44" t="s">
        <v>1675</v>
      </c>
      <c r="X195" s="47">
        <f>27000000+7560000</f>
        <v>34560000</v>
      </c>
      <c r="Y195" s="46">
        <v>45226</v>
      </c>
      <c r="Z195" s="48" t="s">
        <v>109</v>
      </c>
      <c r="AA195" s="49"/>
      <c r="AB195" s="48"/>
      <c r="AC195" s="26"/>
      <c r="AD195" s="48"/>
      <c r="AE195" s="49"/>
      <c r="AF195" s="49">
        <v>45225</v>
      </c>
      <c r="AG195" s="45">
        <v>7560000</v>
      </c>
      <c r="AH195" s="50">
        <f>U195+AG195</f>
        <v>34560000</v>
      </c>
      <c r="AI195" s="48" t="s">
        <v>1676</v>
      </c>
      <c r="AJ195" s="49">
        <v>45230</v>
      </c>
      <c r="AK195" s="49">
        <v>45225</v>
      </c>
      <c r="AL195" s="42" t="s">
        <v>1677</v>
      </c>
      <c r="AM195" s="48" t="s">
        <v>1676</v>
      </c>
      <c r="AN195" s="49">
        <v>45230</v>
      </c>
      <c r="AO195" s="38"/>
      <c r="AP195" s="38"/>
      <c r="AQ195" s="38"/>
      <c r="AR195" s="38"/>
      <c r="AS195" s="38"/>
      <c r="AT195" s="51"/>
      <c r="AU195" s="52"/>
      <c r="AV195" s="53">
        <v>45289</v>
      </c>
      <c r="AW195" s="41" t="s">
        <v>56</v>
      </c>
      <c r="AX195" s="40" t="s">
        <v>184</v>
      </c>
      <c r="AY195" s="54">
        <v>20235920003983</v>
      </c>
    </row>
    <row r="196" spans="2:51" s="37" customFormat="1" ht="15" x14ac:dyDescent="0.25">
      <c r="B196" s="38">
        <v>195</v>
      </c>
      <c r="C196" s="39">
        <v>2023</v>
      </c>
      <c r="D196" s="40" t="s">
        <v>1678</v>
      </c>
      <c r="E196" s="41" t="s">
        <v>199</v>
      </c>
      <c r="F196" s="40" t="s">
        <v>97</v>
      </c>
      <c r="G196" s="40" t="s">
        <v>98</v>
      </c>
      <c r="H196" s="41" t="s">
        <v>1679</v>
      </c>
      <c r="I196" s="25" t="s">
        <v>1680</v>
      </c>
      <c r="J196" s="42" t="s">
        <v>989</v>
      </c>
      <c r="K196" s="42" t="s">
        <v>1681</v>
      </c>
      <c r="L196" s="26">
        <v>1000323287</v>
      </c>
      <c r="M196" s="43">
        <v>1066</v>
      </c>
      <c r="N196" s="44">
        <v>44984</v>
      </c>
      <c r="O196" s="45">
        <v>12500000</v>
      </c>
      <c r="P196" s="44">
        <v>44992</v>
      </c>
      <c r="Q196" s="43" t="s">
        <v>1682</v>
      </c>
      <c r="R196" s="46">
        <v>44994</v>
      </c>
      <c r="S196" s="45" t="s">
        <v>119</v>
      </c>
      <c r="T196" s="46">
        <v>44994</v>
      </c>
      <c r="U196" s="45">
        <v>12500000</v>
      </c>
      <c r="V196" s="43">
        <v>1053</v>
      </c>
      <c r="W196" s="44">
        <v>44993</v>
      </c>
      <c r="X196" s="47">
        <v>12500000</v>
      </c>
      <c r="Y196" s="46">
        <v>45146</v>
      </c>
      <c r="Z196" s="48" t="s">
        <v>109</v>
      </c>
      <c r="AA196" s="49">
        <v>45071</v>
      </c>
      <c r="AB196" s="48" t="s">
        <v>1683</v>
      </c>
      <c r="AC196" s="26">
        <v>1016051812</v>
      </c>
      <c r="AD196" s="48" t="s">
        <v>1684</v>
      </c>
      <c r="AE196" s="49">
        <v>45071</v>
      </c>
      <c r="AF196" s="48" t="s">
        <v>121</v>
      </c>
      <c r="AG196" s="56" t="s">
        <v>121</v>
      </c>
      <c r="AH196" s="50" t="s">
        <v>121</v>
      </c>
      <c r="AI196" s="48" t="s">
        <v>121</v>
      </c>
      <c r="AJ196" s="39" t="s">
        <v>121</v>
      </c>
      <c r="AK196" s="39" t="s">
        <v>121</v>
      </c>
      <c r="AL196" s="39" t="s">
        <v>121</v>
      </c>
      <c r="AM196" s="39" t="s">
        <v>121</v>
      </c>
      <c r="AN196" s="39" t="s">
        <v>121</v>
      </c>
      <c r="AO196" s="39" t="s">
        <v>121</v>
      </c>
      <c r="AP196" s="39" t="s">
        <v>121</v>
      </c>
      <c r="AQ196" s="49" t="s">
        <v>121</v>
      </c>
      <c r="AR196" s="49" t="s">
        <v>121</v>
      </c>
      <c r="AS196" s="49" t="s">
        <v>121</v>
      </c>
      <c r="AT196" s="49" t="s">
        <v>121</v>
      </c>
      <c r="AU196" s="49" t="s">
        <v>121</v>
      </c>
      <c r="AV196" s="53">
        <v>45103</v>
      </c>
      <c r="AW196" s="40" t="s">
        <v>1685</v>
      </c>
      <c r="AX196" s="40" t="s">
        <v>123</v>
      </c>
      <c r="AY196" s="54">
        <v>20235920002963</v>
      </c>
    </row>
    <row r="197" spans="2:51" s="37" customFormat="1" ht="17.25" customHeight="1" x14ac:dyDescent="0.25">
      <c r="B197" s="38">
        <v>196</v>
      </c>
      <c r="C197" s="39">
        <v>2023</v>
      </c>
      <c r="D197" s="40" t="s">
        <v>1686</v>
      </c>
      <c r="E197" s="41" t="s">
        <v>199</v>
      </c>
      <c r="F197" s="40" t="s">
        <v>97</v>
      </c>
      <c r="G197" s="40" t="s">
        <v>98</v>
      </c>
      <c r="H197" s="41" t="s">
        <v>1687</v>
      </c>
      <c r="I197" s="25" t="s">
        <v>1688</v>
      </c>
      <c r="J197" s="42" t="s">
        <v>989</v>
      </c>
      <c r="K197" s="42" t="s">
        <v>1689</v>
      </c>
      <c r="L197" s="26">
        <v>79118454</v>
      </c>
      <c r="M197" s="43">
        <v>1007</v>
      </c>
      <c r="N197" s="44">
        <v>44970</v>
      </c>
      <c r="O197" s="45">
        <v>37500000</v>
      </c>
      <c r="P197" s="44">
        <v>44992</v>
      </c>
      <c r="Q197" s="43" t="s">
        <v>1690</v>
      </c>
      <c r="R197" s="46">
        <v>44995</v>
      </c>
      <c r="S197" s="45" t="s">
        <v>119</v>
      </c>
      <c r="T197" s="46">
        <v>44995</v>
      </c>
      <c r="U197" s="45">
        <v>12500000</v>
      </c>
      <c r="V197" s="43">
        <v>1052</v>
      </c>
      <c r="W197" s="44">
        <v>44993</v>
      </c>
      <c r="X197" s="47">
        <v>12500000</v>
      </c>
      <c r="Y197" s="46">
        <v>45147</v>
      </c>
      <c r="Z197" s="48" t="s">
        <v>109</v>
      </c>
      <c r="AA197" s="49" t="s">
        <v>121</v>
      </c>
      <c r="AB197" s="49" t="s">
        <v>121</v>
      </c>
      <c r="AC197" s="26" t="s">
        <v>121</v>
      </c>
      <c r="AD197" s="49" t="s">
        <v>121</v>
      </c>
      <c r="AE197" s="49" t="s">
        <v>121</v>
      </c>
      <c r="AF197" s="48" t="s">
        <v>121</v>
      </c>
      <c r="AG197" s="56" t="s">
        <v>121</v>
      </c>
      <c r="AH197" s="50" t="s">
        <v>121</v>
      </c>
      <c r="AI197" s="48" t="s">
        <v>121</v>
      </c>
      <c r="AJ197" s="39" t="s">
        <v>121</v>
      </c>
      <c r="AK197" s="39" t="s">
        <v>121</v>
      </c>
      <c r="AL197" s="39" t="s">
        <v>121</v>
      </c>
      <c r="AM197" s="39" t="s">
        <v>121</v>
      </c>
      <c r="AN197" s="39" t="s">
        <v>121</v>
      </c>
      <c r="AO197" s="39" t="s">
        <v>121</v>
      </c>
      <c r="AP197" s="39" t="s">
        <v>121</v>
      </c>
      <c r="AQ197" s="49" t="s">
        <v>121</v>
      </c>
      <c r="AR197" s="49" t="s">
        <v>121</v>
      </c>
      <c r="AS197" s="49" t="s">
        <v>121</v>
      </c>
      <c r="AT197" s="49" t="s">
        <v>121</v>
      </c>
      <c r="AU197" s="49" t="s">
        <v>121</v>
      </c>
      <c r="AV197" s="53">
        <v>45103</v>
      </c>
      <c r="AW197" s="40" t="s">
        <v>152</v>
      </c>
      <c r="AX197" s="40" t="s">
        <v>123</v>
      </c>
      <c r="AY197" s="54">
        <v>20235920002963</v>
      </c>
    </row>
    <row r="198" spans="2:51" s="37" customFormat="1" ht="26.25" x14ac:dyDescent="0.25">
      <c r="B198" s="38">
        <v>197</v>
      </c>
      <c r="C198" s="39">
        <v>2023</v>
      </c>
      <c r="D198" s="40" t="s">
        <v>1691</v>
      </c>
      <c r="E198" s="41" t="s">
        <v>155</v>
      </c>
      <c r="F198" s="40" t="s">
        <v>97</v>
      </c>
      <c r="G198" s="40" t="s">
        <v>98</v>
      </c>
      <c r="H198" s="41" t="s">
        <v>1692</v>
      </c>
      <c r="I198" s="25" t="s">
        <v>1693</v>
      </c>
      <c r="J198" s="42" t="s">
        <v>1694</v>
      </c>
      <c r="K198" s="42" t="s">
        <v>1695</v>
      </c>
      <c r="L198" s="26">
        <v>35221867</v>
      </c>
      <c r="M198" s="43" t="s">
        <v>1696</v>
      </c>
      <c r="N198" s="44" t="s">
        <v>1252</v>
      </c>
      <c r="O198" s="45">
        <f>30750000+9020000</f>
        <v>39770000</v>
      </c>
      <c r="P198" s="44">
        <v>44994</v>
      </c>
      <c r="Q198" s="43" t="s">
        <v>1697</v>
      </c>
      <c r="R198" s="46">
        <v>44995</v>
      </c>
      <c r="S198" s="45" t="s">
        <v>162</v>
      </c>
      <c r="T198" s="46">
        <v>44995</v>
      </c>
      <c r="U198" s="45">
        <v>30750000</v>
      </c>
      <c r="V198" s="43" t="s">
        <v>1698</v>
      </c>
      <c r="W198" s="44" t="s">
        <v>1699</v>
      </c>
      <c r="X198" s="47">
        <f>30750000+9020000</f>
        <v>39770000</v>
      </c>
      <c r="Y198" s="46">
        <v>45223</v>
      </c>
      <c r="Z198" s="48" t="s">
        <v>109</v>
      </c>
      <c r="AA198" s="49"/>
      <c r="AB198" s="48"/>
      <c r="AC198" s="26"/>
      <c r="AD198" s="48"/>
      <c r="AE198" s="49"/>
      <c r="AF198" s="49">
        <v>45208</v>
      </c>
      <c r="AG198" s="45">
        <v>9020000</v>
      </c>
      <c r="AH198" s="50">
        <f>U198+AG198</f>
        <v>39770000</v>
      </c>
      <c r="AI198" s="48" t="s">
        <v>1700</v>
      </c>
      <c r="AJ198" s="49">
        <v>45209</v>
      </c>
      <c r="AK198" s="49">
        <v>45208</v>
      </c>
      <c r="AL198" s="42" t="s">
        <v>1638</v>
      </c>
      <c r="AM198" s="48" t="s">
        <v>1700</v>
      </c>
      <c r="AN198" s="49">
        <v>45209</v>
      </c>
      <c r="AO198" s="38"/>
      <c r="AP198" s="38"/>
      <c r="AQ198" s="38"/>
      <c r="AR198" s="38"/>
      <c r="AS198" s="38"/>
      <c r="AT198" s="51"/>
      <c r="AU198" s="52"/>
      <c r="AV198" s="53">
        <v>45291</v>
      </c>
      <c r="AW198" s="41" t="s">
        <v>56</v>
      </c>
      <c r="AX198" s="40" t="s">
        <v>845</v>
      </c>
      <c r="AY198" s="54">
        <v>20235920004233</v>
      </c>
    </row>
    <row r="199" spans="2:51" s="37" customFormat="1" ht="17.25" customHeight="1" x14ac:dyDescent="0.25">
      <c r="B199" s="38">
        <v>198</v>
      </c>
      <c r="C199" s="39">
        <v>2023</v>
      </c>
      <c r="D199" s="40" t="s">
        <v>1701</v>
      </c>
      <c r="E199" s="41" t="s">
        <v>128</v>
      </c>
      <c r="F199" s="40" t="s">
        <v>97</v>
      </c>
      <c r="G199" s="40" t="s">
        <v>98</v>
      </c>
      <c r="H199" s="41" t="s">
        <v>1702</v>
      </c>
      <c r="I199" s="25" t="s">
        <v>569</v>
      </c>
      <c r="J199" s="42" t="s">
        <v>569</v>
      </c>
      <c r="K199" s="42" t="s">
        <v>1703</v>
      </c>
      <c r="L199" s="26">
        <v>53141135</v>
      </c>
      <c r="M199" s="43">
        <v>1048</v>
      </c>
      <c r="N199" s="44">
        <v>44979</v>
      </c>
      <c r="O199" s="45">
        <v>52830000</v>
      </c>
      <c r="P199" s="43" t="s">
        <v>569</v>
      </c>
      <c r="Q199" s="43" t="s">
        <v>569</v>
      </c>
      <c r="R199" s="43" t="s">
        <v>569</v>
      </c>
      <c r="S199" s="43" t="s">
        <v>569</v>
      </c>
      <c r="T199" s="43" t="s">
        <v>569</v>
      </c>
      <c r="U199" s="43" t="s">
        <v>569</v>
      </c>
      <c r="V199" s="43" t="s">
        <v>569</v>
      </c>
      <c r="W199" s="44" t="s">
        <v>569</v>
      </c>
      <c r="X199" s="43" t="s">
        <v>569</v>
      </c>
      <c r="Y199" s="43" t="s">
        <v>569</v>
      </c>
      <c r="Z199" s="48" t="s">
        <v>120</v>
      </c>
      <c r="AA199" s="49" t="s">
        <v>121</v>
      </c>
      <c r="AB199" s="49" t="s">
        <v>121</v>
      </c>
      <c r="AC199" s="26" t="s">
        <v>121</v>
      </c>
      <c r="AD199" s="49" t="s">
        <v>121</v>
      </c>
      <c r="AE199" s="49" t="s">
        <v>121</v>
      </c>
      <c r="AF199" s="49" t="s">
        <v>121</v>
      </c>
      <c r="AG199" s="45" t="s">
        <v>121</v>
      </c>
      <c r="AH199" s="49" t="s">
        <v>121</v>
      </c>
      <c r="AI199" s="48" t="s">
        <v>121</v>
      </c>
      <c r="AJ199" s="49" t="s">
        <v>121</v>
      </c>
      <c r="AK199" s="49" t="s">
        <v>121</v>
      </c>
      <c r="AL199" s="42" t="s">
        <v>121</v>
      </c>
      <c r="AM199" s="48" t="s">
        <v>121</v>
      </c>
      <c r="AN199" s="48" t="s">
        <v>121</v>
      </c>
      <c r="AO199" s="49" t="s">
        <v>121</v>
      </c>
      <c r="AP199" s="49" t="s">
        <v>121</v>
      </c>
      <c r="AQ199" s="49" t="s">
        <v>121</v>
      </c>
      <c r="AR199" s="49" t="s">
        <v>121</v>
      </c>
      <c r="AS199" s="49" t="s">
        <v>121</v>
      </c>
      <c r="AT199" s="49" t="s">
        <v>121</v>
      </c>
      <c r="AU199" s="49" t="s">
        <v>121</v>
      </c>
      <c r="AV199" s="49" t="s">
        <v>121</v>
      </c>
      <c r="AW199" s="41" t="s">
        <v>569</v>
      </c>
      <c r="AX199" s="41" t="s">
        <v>569</v>
      </c>
      <c r="AY199" s="54" t="s">
        <v>569</v>
      </c>
    </row>
    <row r="200" spans="2:51" s="37" customFormat="1" ht="17.25" customHeight="1" x14ac:dyDescent="0.25">
      <c r="B200" s="38">
        <v>199</v>
      </c>
      <c r="C200" s="39">
        <v>2023</v>
      </c>
      <c r="D200" s="40" t="s">
        <v>1704</v>
      </c>
      <c r="E200" s="41" t="s">
        <v>96</v>
      </c>
      <c r="F200" s="40" t="s">
        <v>97</v>
      </c>
      <c r="G200" s="40" t="s">
        <v>98</v>
      </c>
      <c r="H200" s="41" t="s">
        <v>1705</v>
      </c>
      <c r="I200" s="25" t="s">
        <v>1706</v>
      </c>
      <c r="J200" s="42" t="s">
        <v>509</v>
      </c>
      <c r="K200" s="42" t="s">
        <v>1707</v>
      </c>
      <c r="L200" s="26">
        <v>80741952</v>
      </c>
      <c r="M200" s="43">
        <v>1030</v>
      </c>
      <c r="N200" s="44">
        <v>44973</v>
      </c>
      <c r="O200" s="45">
        <v>108000000</v>
      </c>
      <c r="P200" s="44">
        <v>44994</v>
      </c>
      <c r="Q200" s="43" t="s">
        <v>1708</v>
      </c>
      <c r="R200" s="46">
        <v>44995</v>
      </c>
      <c r="S200" s="45" t="s">
        <v>344</v>
      </c>
      <c r="T200" s="46">
        <v>44995</v>
      </c>
      <c r="U200" s="45">
        <v>10800000</v>
      </c>
      <c r="V200" s="43">
        <v>1059</v>
      </c>
      <c r="W200" s="44">
        <v>44994</v>
      </c>
      <c r="X200" s="47">
        <v>10800000</v>
      </c>
      <c r="Y200" s="46">
        <v>45116</v>
      </c>
      <c r="Z200" s="48" t="s">
        <v>120</v>
      </c>
      <c r="AA200" s="49" t="s">
        <v>121</v>
      </c>
      <c r="AB200" s="49" t="s">
        <v>121</v>
      </c>
      <c r="AC200" s="26" t="s">
        <v>121</v>
      </c>
      <c r="AD200" s="49" t="s">
        <v>121</v>
      </c>
      <c r="AE200" s="49" t="s">
        <v>121</v>
      </c>
      <c r="AF200" s="48" t="s">
        <v>121</v>
      </c>
      <c r="AG200" s="48" t="s">
        <v>121</v>
      </c>
      <c r="AH200" s="48" t="s">
        <v>121</v>
      </c>
      <c r="AI200" s="48" t="s">
        <v>121</v>
      </c>
      <c r="AJ200" s="48" t="s">
        <v>121</v>
      </c>
      <c r="AK200" s="48" t="s">
        <v>121</v>
      </c>
      <c r="AL200" s="42" t="s">
        <v>121</v>
      </c>
      <c r="AM200" s="48" t="s">
        <v>121</v>
      </c>
      <c r="AN200" s="48" t="s">
        <v>121</v>
      </c>
      <c r="AO200" s="49" t="s">
        <v>121</v>
      </c>
      <c r="AP200" s="49" t="s">
        <v>121</v>
      </c>
      <c r="AQ200" s="49" t="s">
        <v>121</v>
      </c>
      <c r="AR200" s="49" t="s">
        <v>121</v>
      </c>
      <c r="AS200" s="49" t="s">
        <v>121</v>
      </c>
      <c r="AT200" s="49" t="s">
        <v>121</v>
      </c>
      <c r="AU200" s="49" t="s">
        <v>121</v>
      </c>
      <c r="AV200" s="49" t="s">
        <v>121</v>
      </c>
      <c r="AW200" s="41" t="s">
        <v>122</v>
      </c>
      <c r="AX200" s="40" t="s">
        <v>417</v>
      </c>
      <c r="AY200" s="54">
        <v>20235920003763</v>
      </c>
    </row>
    <row r="201" spans="2:51" s="37" customFormat="1" ht="28.5" customHeight="1" x14ac:dyDescent="0.25">
      <c r="B201" s="38">
        <v>200</v>
      </c>
      <c r="C201" s="39">
        <v>2023</v>
      </c>
      <c r="D201" s="40" t="s">
        <v>1709</v>
      </c>
      <c r="E201" s="41" t="s">
        <v>96</v>
      </c>
      <c r="F201" s="40" t="s">
        <v>97</v>
      </c>
      <c r="G201" s="40" t="s">
        <v>98</v>
      </c>
      <c r="H201" s="41" t="s">
        <v>1710</v>
      </c>
      <c r="I201" s="25" t="s">
        <v>1711</v>
      </c>
      <c r="J201" s="42" t="s">
        <v>1489</v>
      </c>
      <c r="K201" s="42" t="s">
        <v>1712</v>
      </c>
      <c r="L201" s="26">
        <v>7141790</v>
      </c>
      <c r="M201" s="43">
        <v>1092</v>
      </c>
      <c r="N201" s="44">
        <v>44993</v>
      </c>
      <c r="O201" s="45">
        <v>39750000</v>
      </c>
      <c r="P201" s="44">
        <v>44994</v>
      </c>
      <c r="Q201" s="43" t="s">
        <v>1713</v>
      </c>
      <c r="R201" s="46">
        <v>44995</v>
      </c>
      <c r="S201" s="45" t="s">
        <v>162</v>
      </c>
      <c r="T201" s="46">
        <v>44995</v>
      </c>
      <c r="U201" s="45">
        <v>39750000</v>
      </c>
      <c r="V201" s="43">
        <v>1058</v>
      </c>
      <c r="W201" s="44">
        <v>44994</v>
      </c>
      <c r="X201" s="47">
        <v>39750000</v>
      </c>
      <c r="Y201" s="46">
        <v>45223</v>
      </c>
      <c r="Z201" s="48" t="s">
        <v>109</v>
      </c>
      <c r="AA201" s="49" t="s">
        <v>121</v>
      </c>
      <c r="AB201" s="49" t="s">
        <v>121</v>
      </c>
      <c r="AC201" s="26" t="s">
        <v>121</v>
      </c>
      <c r="AD201" s="49" t="s">
        <v>121</v>
      </c>
      <c r="AE201" s="49" t="s">
        <v>121</v>
      </c>
      <c r="AF201" s="48" t="s">
        <v>121</v>
      </c>
      <c r="AG201" s="45" t="s">
        <v>121</v>
      </c>
      <c r="AH201" s="50" t="s">
        <v>121</v>
      </c>
      <c r="AI201" s="38" t="s">
        <v>121</v>
      </c>
      <c r="AJ201" s="38" t="s">
        <v>121</v>
      </c>
      <c r="AK201" s="38" t="s">
        <v>121</v>
      </c>
      <c r="AL201" s="51" t="s">
        <v>121</v>
      </c>
      <c r="AM201" s="52" t="s">
        <v>121</v>
      </c>
      <c r="AN201" s="48" t="s">
        <v>121</v>
      </c>
      <c r="AO201" s="38" t="s">
        <v>121</v>
      </c>
      <c r="AP201" s="38" t="s">
        <v>121</v>
      </c>
      <c r="AQ201" s="38" t="s">
        <v>121</v>
      </c>
      <c r="AR201" s="38" t="s">
        <v>121</v>
      </c>
      <c r="AS201" s="38" t="s">
        <v>121</v>
      </c>
      <c r="AT201" s="51" t="s">
        <v>121</v>
      </c>
      <c r="AU201" s="52" t="s">
        <v>121</v>
      </c>
      <c r="AV201" s="53">
        <v>45063</v>
      </c>
      <c r="AW201" s="57" t="s">
        <v>152</v>
      </c>
      <c r="AX201" s="40" t="s">
        <v>184</v>
      </c>
      <c r="AY201" s="54">
        <v>20235920003333</v>
      </c>
    </row>
    <row r="202" spans="2:51" s="37" customFormat="1" ht="26.25" x14ac:dyDescent="0.25">
      <c r="B202" s="38">
        <v>201</v>
      </c>
      <c r="C202" s="39">
        <v>2023</v>
      </c>
      <c r="D202" s="40" t="s">
        <v>1714</v>
      </c>
      <c r="E202" s="41" t="s">
        <v>96</v>
      </c>
      <c r="F202" s="40" t="s">
        <v>97</v>
      </c>
      <c r="G202" s="40" t="s">
        <v>98</v>
      </c>
      <c r="H202" s="41" t="s">
        <v>1715</v>
      </c>
      <c r="I202" s="25" t="s">
        <v>1716</v>
      </c>
      <c r="J202" s="42" t="s">
        <v>1717</v>
      </c>
      <c r="K202" s="42" t="s">
        <v>1718</v>
      </c>
      <c r="L202" s="26">
        <v>35324083</v>
      </c>
      <c r="M202" s="43" t="s">
        <v>1719</v>
      </c>
      <c r="N202" s="44" t="s">
        <v>1252</v>
      </c>
      <c r="O202" s="45">
        <f>135000000+12400000</f>
        <v>147400000</v>
      </c>
      <c r="P202" s="44">
        <v>44995</v>
      </c>
      <c r="Q202" s="43" t="s">
        <v>1720</v>
      </c>
      <c r="R202" s="46">
        <v>44998</v>
      </c>
      <c r="S202" s="45" t="s">
        <v>162</v>
      </c>
      <c r="T202" s="46">
        <v>44999</v>
      </c>
      <c r="U202" s="45">
        <v>45000000</v>
      </c>
      <c r="V202" s="43" t="s">
        <v>1721</v>
      </c>
      <c r="W202" s="44" t="s">
        <v>1722</v>
      </c>
      <c r="X202" s="47">
        <f>45000000+12400000</f>
        <v>57400000</v>
      </c>
      <c r="Y202" s="46">
        <v>45227</v>
      </c>
      <c r="Z202" s="48" t="s">
        <v>109</v>
      </c>
      <c r="AA202" s="49"/>
      <c r="AB202" s="48"/>
      <c r="AC202" s="26"/>
      <c r="AD202" s="48"/>
      <c r="AE202" s="49"/>
      <c r="AF202" s="49">
        <v>45225</v>
      </c>
      <c r="AG202" s="45">
        <v>12400000</v>
      </c>
      <c r="AH202" s="50">
        <f>U202+AG202</f>
        <v>57400000</v>
      </c>
      <c r="AI202" s="48" t="s">
        <v>1723</v>
      </c>
      <c r="AJ202" s="49">
        <v>45230</v>
      </c>
      <c r="AK202" s="49">
        <v>45225</v>
      </c>
      <c r="AL202" s="42" t="s">
        <v>1724</v>
      </c>
      <c r="AM202" s="48" t="s">
        <v>1723</v>
      </c>
      <c r="AN202" s="49">
        <v>45230</v>
      </c>
      <c r="AO202" s="38"/>
      <c r="AP202" s="38"/>
      <c r="AQ202" s="38"/>
      <c r="AR202" s="38"/>
      <c r="AS202" s="38"/>
      <c r="AT202" s="51"/>
      <c r="AU202" s="52"/>
      <c r="AV202" s="53">
        <v>45290</v>
      </c>
      <c r="AW202" s="41" t="s">
        <v>56</v>
      </c>
      <c r="AX202" s="40" t="s">
        <v>652</v>
      </c>
      <c r="AY202" s="54">
        <v>20235920008843</v>
      </c>
    </row>
    <row r="203" spans="2:51" s="37" customFormat="1" ht="26.25" x14ac:dyDescent="0.25">
      <c r="B203" s="38">
        <v>202</v>
      </c>
      <c r="C203" s="39">
        <v>2023</v>
      </c>
      <c r="D203" s="40" t="s">
        <v>1725</v>
      </c>
      <c r="E203" s="41" t="s">
        <v>518</v>
      </c>
      <c r="F203" s="40" t="s">
        <v>97</v>
      </c>
      <c r="G203" s="40" t="s">
        <v>98</v>
      </c>
      <c r="H203" s="41" t="s">
        <v>1726</v>
      </c>
      <c r="I203" s="25" t="s">
        <v>1727</v>
      </c>
      <c r="J203" s="42" t="s">
        <v>1728</v>
      </c>
      <c r="K203" s="42" t="s">
        <v>1729</v>
      </c>
      <c r="L203" s="26">
        <v>1016112913</v>
      </c>
      <c r="M203" s="43" t="s">
        <v>1730</v>
      </c>
      <c r="N203" s="44" t="s">
        <v>1731</v>
      </c>
      <c r="O203" s="45">
        <f>26250000+7700000</f>
        <v>33950000</v>
      </c>
      <c r="P203" s="44">
        <v>44994</v>
      </c>
      <c r="Q203" s="43" t="s">
        <v>1732</v>
      </c>
      <c r="R203" s="46">
        <v>44995</v>
      </c>
      <c r="S203" s="45" t="s">
        <v>162</v>
      </c>
      <c r="T203" s="46">
        <v>44995</v>
      </c>
      <c r="U203" s="45">
        <v>26250000</v>
      </c>
      <c r="V203" s="43" t="s">
        <v>1733</v>
      </c>
      <c r="W203" s="44" t="s">
        <v>1699</v>
      </c>
      <c r="X203" s="47">
        <f>26250000+7700000</f>
        <v>33950000</v>
      </c>
      <c r="Y203" s="46">
        <v>45223</v>
      </c>
      <c r="Z203" s="48" t="s">
        <v>109</v>
      </c>
      <c r="AA203" s="49"/>
      <c r="AB203" s="48"/>
      <c r="AC203" s="26"/>
      <c r="AD203" s="48"/>
      <c r="AE203" s="49"/>
      <c r="AF203" s="49">
        <v>45208</v>
      </c>
      <c r="AG203" s="45">
        <v>7700000</v>
      </c>
      <c r="AH203" s="50">
        <f>U203+AG203</f>
        <v>33950000</v>
      </c>
      <c r="AI203" s="48" t="s">
        <v>1734</v>
      </c>
      <c r="AJ203" s="49">
        <v>45216</v>
      </c>
      <c r="AK203" s="49">
        <v>45208</v>
      </c>
      <c r="AL203" s="42" t="s">
        <v>1638</v>
      </c>
      <c r="AM203" s="48" t="s">
        <v>1734</v>
      </c>
      <c r="AN203" s="49">
        <v>45216</v>
      </c>
      <c r="AO203" s="38"/>
      <c r="AP203" s="38"/>
      <c r="AQ203" s="38"/>
      <c r="AR203" s="38"/>
      <c r="AS203" s="38"/>
      <c r="AT203" s="51"/>
      <c r="AU203" s="52"/>
      <c r="AV203" s="53">
        <v>45291</v>
      </c>
      <c r="AW203" s="41" t="s">
        <v>56</v>
      </c>
      <c r="AX203" s="40" t="s">
        <v>145</v>
      </c>
      <c r="AY203" s="54">
        <v>20235920003233</v>
      </c>
    </row>
    <row r="204" spans="2:51" s="37" customFormat="1" ht="17.25" customHeight="1" x14ac:dyDescent="0.25">
      <c r="B204" s="38">
        <v>203</v>
      </c>
      <c r="C204" s="39">
        <v>2023</v>
      </c>
      <c r="D204" s="40" t="s">
        <v>1735</v>
      </c>
      <c r="E204" s="41" t="s">
        <v>518</v>
      </c>
      <c r="F204" s="40" t="s">
        <v>97</v>
      </c>
      <c r="G204" s="40" t="s">
        <v>98</v>
      </c>
      <c r="H204" s="41" t="s">
        <v>1736</v>
      </c>
      <c r="I204" s="25" t="s">
        <v>1737</v>
      </c>
      <c r="J204" s="42" t="s">
        <v>989</v>
      </c>
      <c r="K204" s="42" t="s">
        <v>1738</v>
      </c>
      <c r="L204" s="26">
        <v>3174325</v>
      </c>
      <c r="M204" s="43">
        <v>1056</v>
      </c>
      <c r="N204" s="44">
        <v>44980</v>
      </c>
      <c r="O204" s="45">
        <v>37500000</v>
      </c>
      <c r="P204" s="44">
        <v>44995</v>
      </c>
      <c r="Q204" s="43" t="s">
        <v>1739</v>
      </c>
      <c r="R204" s="46">
        <v>44995</v>
      </c>
      <c r="S204" s="45" t="s">
        <v>119</v>
      </c>
      <c r="T204" s="46">
        <v>44998</v>
      </c>
      <c r="U204" s="45">
        <v>12500000</v>
      </c>
      <c r="V204" s="43">
        <v>1065</v>
      </c>
      <c r="W204" s="44">
        <v>44995</v>
      </c>
      <c r="X204" s="47">
        <v>12500000</v>
      </c>
      <c r="Y204" s="46">
        <v>45150</v>
      </c>
      <c r="Z204" s="48" t="s">
        <v>109</v>
      </c>
      <c r="AA204" s="49" t="s">
        <v>121</v>
      </c>
      <c r="AB204" s="48" t="s">
        <v>121</v>
      </c>
      <c r="AC204" s="26" t="s">
        <v>121</v>
      </c>
      <c r="AD204" s="48" t="s">
        <v>121</v>
      </c>
      <c r="AE204" s="49" t="s">
        <v>121</v>
      </c>
      <c r="AF204" s="48" t="s">
        <v>121</v>
      </c>
      <c r="AG204" s="56" t="s">
        <v>121</v>
      </c>
      <c r="AH204" s="50" t="s">
        <v>121</v>
      </c>
      <c r="AI204" s="48" t="s">
        <v>121</v>
      </c>
      <c r="AJ204" s="39" t="s">
        <v>121</v>
      </c>
      <c r="AK204" s="39" t="s">
        <v>121</v>
      </c>
      <c r="AL204" s="39" t="s">
        <v>121</v>
      </c>
      <c r="AM204" s="39" t="s">
        <v>121</v>
      </c>
      <c r="AN204" s="39" t="s">
        <v>121</v>
      </c>
      <c r="AO204" s="49" t="s">
        <v>121</v>
      </c>
      <c r="AP204" s="49" t="s">
        <v>121</v>
      </c>
      <c r="AQ204" s="49" t="s">
        <v>121</v>
      </c>
      <c r="AR204" s="49" t="s">
        <v>121</v>
      </c>
      <c r="AS204" s="49" t="s">
        <v>121</v>
      </c>
      <c r="AT204" s="49" t="s">
        <v>121</v>
      </c>
      <c r="AU204" s="49" t="s">
        <v>121</v>
      </c>
      <c r="AV204" s="53">
        <v>45103</v>
      </c>
      <c r="AW204" s="40" t="s">
        <v>152</v>
      </c>
      <c r="AX204" s="40" t="s">
        <v>123</v>
      </c>
      <c r="AY204" s="54">
        <v>20235920003243</v>
      </c>
    </row>
    <row r="205" spans="2:51" s="37" customFormat="1" ht="20.25" customHeight="1" x14ac:dyDescent="0.25">
      <c r="B205" s="38">
        <v>204</v>
      </c>
      <c r="C205" s="39">
        <v>2023</v>
      </c>
      <c r="D205" s="40" t="s">
        <v>1740</v>
      </c>
      <c r="E205" s="41" t="s">
        <v>518</v>
      </c>
      <c r="F205" s="40" t="s">
        <v>97</v>
      </c>
      <c r="G205" s="40" t="s">
        <v>98</v>
      </c>
      <c r="H205" s="41" t="s">
        <v>1741</v>
      </c>
      <c r="I205" s="25" t="s">
        <v>1742</v>
      </c>
      <c r="J205" s="42" t="s">
        <v>1743</v>
      </c>
      <c r="K205" s="42" t="s">
        <v>1744</v>
      </c>
      <c r="L205" s="26">
        <v>52806783</v>
      </c>
      <c r="M205" s="43">
        <v>1074</v>
      </c>
      <c r="N205" s="44">
        <v>44985</v>
      </c>
      <c r="O205" s="45">
        <v>31500000</v>
      </c>
      <c r="P205" s="44">
        <v>44995</v>
      </c>
      <c r="Q205" s="43" t="s">
        <v>1745</v>
      </c>
      <c r="R205" s="46">
        <v>44995</v>
      </c>
      <c r="S205" s="45" t="s">
        <v>344</v>
      </c>
      <c r="T205" s="46">
        <v>44998</v>
      </c>
      <c r="U205" s="45">
        <v>16800000</v>
      </c>
      <c r="V205" s="43">
        <v>1062</v>
      </c>
      <c r="W205" s="44">
        <v>44995</v>
      </c>
      <c r="X205" s="47">
        <v>16800000</v>
      </c>
      <c r="Y205" s="46">
        <v>45223</v>
      </c>
      <c r="Z205" s="48" t="s">
        <v>109</v>
      </c>
      <c r="AA205" s="49" t="s">
        <v>121</v>
      </c>
      <c r="AB205" s="49" t="s">
        <v>121</v>
      </c>
      <c r="AC205" s="26" t="s">
        <v>121</v>
      </c>
      <c r="AD205" s="49" t="s">
        <v>121</v>
      </c>
      <c r="AE205" s="49" t="s">
        <v>121</v>
      </c>
      <c r="AF205" s="48" t="s">
        <v>121</v>
      </c>
      <c r="AG205" s="45" t="s">
        <v>121</v>
      </c>
      <c r="AH205" s="50" t="s">
        <v>121</v>
      </c>
      <c r="AI205" s="38" t="s">
        <v>121</v>
      </c>
      <c r="AJ205" s="38" t="s">
        <v>121</v>
      </c>
      <c r="AK205" s="38" t="s">
        <v>121</v>
      </c>
      <c r="AL205" s="51" t="s">
        <v>121</v>
      </c>
      <c r="AM205" s="52" t="s">
        <v>121</v>
      </c>
      <c r="AN205" s="48" t="s">
        <v>121</v>
      </c>
      <c r="AO205" s="38" t="s">
        <v>121</v>
      </c>
      <c r="AP205" s="38" t="s">
        <v>121</v>
      </c>
      <c r="AQ205" s="38" t="s">
        <v>121</v>
      </c>
      <c r="AR205" s="38" t="s">
        <v>121</v>
      </c>
      <c r="AS205" s="38" t="s">
        <v>121</v>
      </c>
      <c r="AT205" s="51" t="s">
        <v>121</v>
      </c>
      <c r="AU205" s="52" t="s">
        <v>121</v>
      </c>
      <c r="AV205" s="53">
        <v>45041</v>
      </c>
      <c r="AW205" s="40" t="s">
        <v>152</v>
      </c>
      <c r="AX205" s="40" t="s">
        <v>238</v>
      </c>
      <c r="AY205" s="54">
        <v>20235920003683</v>
      </c>
    </row>
    <row r="206" spans="2:51" s="37" customFormat="1" ht="26.25" x14ac:dyDescent="0.25">
      <c r="B206" s="38">
        <v>205</v>
      </c>
      <c r="C206" s="39">
        <v>2023</v>
      </c>
      <c r="D206" s="40" t="s">
        <v>1746</v>
      </c>
      <c r="E206" s="41" t="s">
        <v>153</v>
      </c>
      <c r="F206" s="40" t="s">
        <v>97</v>
      </c>
      <c r="G206" s="40" t="s">
        <v>98</v>
      </c>
      <c r="H206" s="41" t="s">
        <v>1747</v>
      </c>
      <c r="I206" s="25" t="s">
        <v>1748</v>
      </c>
      <c r="J206" s="42" t="s">
        <v>1365</v>
      </c>
      <c r="K206" s="42" t="s">
        <v>1749</v>
      </c>
      <c r="L206" s="26">
        <v>1014260761</v>
      </c>
      <c r="M206" s="43" t="s">
        <v>1750</v>
      </c>
      <c r="N206" s="44" t="s">
        <v>1415</v>
      </c>
      <c r="O206" s="45">
        <f>202500000+6300000</f>
        <v>208800000</v>
      </c>
      <c r="P206" s="44">
        <v>44995</v>
      </c>
      <c r="Q206" s="43" t="s">
        <v>1751</v>
      </c>
      <c r="R206" s="46">
        <v>44998</v>
      </c>
      <c r="S206" s="45" t="s">
        <v>162</v>
      </c>
      <c r="T206" s="46">
        <v>44998</v>
      </c>
      <c r="U206" s="45">
        <v>22500000</v>
      </c>
      <c r="V206" s="43" t="s">
        <v>1752</v>
      </c>
      <c r="W206" s="44" t="s">
        <v>1722</v>
      </c>
      <c r="X206" s="47">
        <f>22500000+6300000</f>
        <v>28800000</v>
      </c>
      <c r="Y206" s="46">
        <v>45226</v>
      </c>
      <c r="Z206" s="48" t="s">
        <v>109</v>
      </c>
      <c r="AA206" s="49"/>
      <c r="AB206" s="48"/>
      <c r="AC206" s="26"/>
      <c r="AD206" s="48"/>
      <c r="AE206" s="49"/>
      <c r="AF206" s="49">
        <v>45225</v>
      </c>
      <c r="AG206" s="45">
        <v>6300000</v>
      </c>
      <c r="AH206" s="50">
        <f>U206+AG206</f>
        <v>28800000</v>
      </c>
      <c r="AI206" s="48" t="s">
        <v>1753</v>
      </c>
      <c r="AJ206" s="49">
        <v>45230</v>
      </c>
      <c r="AK206" s="49">
        <v>45225</v>
      </c>
      <c r="AL206" s="42" t="s">
        <v>1677</v>
      </c>
      <c r="AM206" s="48" t="s">
        <v>1753</v>
      </c>
      <c r="AN206" s="49">
        <v>45230</v>
      </c>
      <c r="AO206" s="38"/>
      <c r="AP206" s="38"/>
      <c r="AQ206" s="38"/>
      <c r="AR206" s="38"/>
      <c r="AS206" s="38"/>
      <c r="AT206" s="51"/>
      <c r="AU206" s="52"/>
      <c r="AV206" s="53">
        <v>45290</v>
      </c>
      <c r="AW206" s="41" t="s">
        <v>56</v>
      </c>
      <c r="AX206" s="40" t="s">
        <v>493</v>
      </c>
      <c r="AY206" s="54">
        <v>20235920003123</v>
      </c>
    </row>
    <row r="207" spans="2:51" s="37" customFormat="1" ht="17.25" customHeight="1" x14ac:dyDescent="0.25">
      <c r="B207" s="38">
        <v>206</v>
      </c>
      <c r="C207" s="39">
        <v>2023</v>
      </c>
      <c r="D207" s="40" t="s">
        <v>1754</v>
      </c>
      <c r="E207" s="41" t="s">
        <v>199</v>
      </c>
      <c r="F207" s="40" t="s">
        <v>97</v>
      </c>
      <c r="G207" s="40" t="s">
        <v>98</v>
      </c>
      <c r="H207" s="41" t="s">
        <v>1755</v>
      </c>
      <c r="I207" s="25" t="s">
        <v>1756</v>
      </c>
      <c r="J207" s="42" t="s">
        <v>1757</v>
      </c>
      <c r="K207" s="42" t="s">
        <v>1758</v>
      </c>
      <c r="L207" s="26">
        <v>1014186074</v>
      </c>
      <c r="M207" s="43">
        <v>1095</v>
      </c>
      <c r="N207" s="44">
        <v>44993</v>
      </c>
      <c r="O207" s="45">
        <v>60750000</v>
      </c>
      <c r="P207" s="44">
        <v>44995</v>
      </c>
      <c r="Q207" s="43" t="s">
        <v>1759</v>
      </c>
      <c r="R207" s="46">
        <v>44999</v>
      </c>
      <c r="S207" s="45" t="s">
        <v>162</v>
      </c>
      <c r="T207" s="46">
        <v>45002</v>
      </c>
      <c r="U207" s="45">
        <v>20250000</v>
      </c>
      <c r="V207" s="43">
        <v>1077</v>
      </c>
      <c r="W207" s="44">
        <v>45002</v>
      </c>
      <c r="X207" s="47">
        <v>20250000</v>
      </c>
      <c r="Y207" s="46">
        <v>45230</v>
      </c>
      <c r="Z207" s="48" t="s">
        <v>120</v>
      </c>
      <c r="AA207" s="49" t="s">
        <v>121</v>
      </c>
      <c r="AB207" s="48" t="s">
        <v>121</v>
      </c>
      <c r="AC207" s="26" t="s">
        <v>121</v>
      </c>
      <c r="AD207" s="48" t="s">
        <v>121</v>
      </c>
      <c r="AE207" s="49" t="s">
        <v>121</v>
      </c>
      <c r="AF207" s="48" t="s">
        <v>121</v>
      </c>
      <c r="AG207" s="45" t="s">
        <v>121</v>
      </c>
      <c r="AH207" s="50" t="s">
        <v>121</v>
      </c>
      <c r="AI207" s="48" t="s">
        <v>121</v>
      </c>
      <c r="AJ207" s="48" t="s">
        <v>121</v>
      </c>
      <c r="AK207" s="48" t="s">
        <v>121</v>
      </c>
      <c r="AL207" s="42" t="s">
        <v>121</v>
      </c>
      <c r="AM207" s="48" t="s">
        <v>121</v>
      </c>
      <c r="AN207" s="48" t="s">
        <v>121</v>
      </c>
      <c r="AO207" s="38" t="s">
        <v>121</v>
      </c>
      <c r="AP207" s="38" t="s">
        <v>121</v>
      </c>
      <c r="AQ207" s="38" t="s">
        <v>121</v>
      </c>
      <c r="AR207" s="38" t="s">
        <v>121</v>
      </c>
      <c r="AS207" s="38" t="s">
        <v>121</v>
      </c>
      <c r="AT207" s="51" t="s">
        <v>121</v>
      </c>
      <c r="AU207" s="52" t="s">
        <v>121</v>
      </c>
      <c r="AV207" s="38" t="s">
        <v>121</v>
      </c>
      <c r="AW207" s="41" t="s">
        <v>122</v>
      </c>
      <c r="AX207" s="40" t="s">
        <v>566</v>
      </c>
      <c r="AY207" s="54">
        <v>20235920003593</v>
      </c>
    </row>
    <row r="208" spans="2:51" s="37" customFormat="1" ht="17.25" customHeight="1" x14ac:dyDescent="0.25">
      <c r="B208" s="38">
        <v>207</v>
      </c>
      <c r="C208" s="39">
        <v>2023</v>
      </c>
      <c r="D208" s="40" t="s">
        <v>1760</v>
      </c>
      <c r="E208" s="41" t="s">
        <v>128</v>
      </c>
      <c r="F208" s="40" t="s">
        <v>97</v>
      </c>
      <c r="G208" s="40" t="s">
        <v>98</v>
      </c>
      <c r="H208" s="41" t="s">
        <v>1761</v>
      </c>
      <c r="I208" s="25" t="s">
        <v>1762</v>
      </c>
      <c r="J208" s="42" t="s">
        <v>574</v>
      </c>
      <c r="K208" s="42" t="s">
        <v>1763</v>
      </c>
      <c r="L208" s="26">
        <v>1017253353</v>
      </c>
      <c r="M208" s="43">
        <v>1024</v>
      </c>
      <c r="N208" s="44">
        <v>45000</v>
      </c>
      <c r="O208" s="45">
        <v>48000000</v>
      </c>
      <c r="P208" s="44">
        <v>44995</v>
      </c>
      <c r="Q208" s="43" t="s">
        <v>1764</v>
      </c>
      <c r="R208" s="46">
        <v>44998</v>
      </c>
      <c r="S208" s="45" t="s">
        <v>344</v>
      </c>
      <c r="T208" s="46">
        <v>44998</v>
      </c>
      <c r="U208" s="45">
        <v>24000000</v>
      </c>
      <c r="V208" s="43">
        <v>1063</v>
      </c>
      <c r="W208" s="44">
        <v>44995</v>
      </c>
      <c r="X208" s="47">
        <v>24000000</v>
      </c>
      <c r="Y208" s="46">
        <v>45119</v>
      </c>
      <c r="Z208" s="48" t="s">
        <v>109</v>
      </c>
      <c r="AA208" s="49" t="s">
        <v>121</v>
      </c>
      <c r="AB208" s="49" t="s">
        <v>121</v>
      </c>
      <c r="AC208" s="26" t="s">
        <v>121</v>
      </c>
      <c r="AD208" s="49" t="s">
        <v>121</v>
      </c>
      <c r="AE208" s="49" t="s">
        <v>121</v>
      </c>
      <c r="AF208" s="48" t="s">
        <v>121</v>
      </c>
      <c r="AG208" s="48" t="s">
        <v>121</v>
      </c>
      <c r="AH208" s="48" t="s">
        <v>121</v>
      </c>
      <c r="AI208" s="48" t="s">
        <v>121</v>
      </c>
      <c r="AJ208" s="48" t="s">
        <v>121</v>
      </c>
      <c r="AK208" s="48" t="s">
        <v>121</v>
      </c>
      <c r="AL208" s="42" t="s">
        <v>121</v>
      </c>
      <c r="AM208" s="48" t="s">
        <v>121</v>
      </c>
      <c r="AN208" s="48" t="s">
        <v>121</v>
      </c>
      <c r="AO208" s="49" t="s">
        <v>121</v>
      </c>
      <c r="AP208" s="49" t="s">
        <v>121</v>
      </c>
      <c r="AQ208" s="49" t="s">
        <v>121</v>
      </c>
      <c r="AR208" s="49" t="s">
        <v>121</v>
      </c>
      <c r="AS208" s="49" t="s">
        <v>121</v>
      </c>
      <c r="AT208" s="49" t="s">
        <v>121</v>
      </c>
      <c r="AU208" s="49" t="s">
        <v>121</v>
      </c>
      <c r="AV208" s="53">
        <v>45103</v>
      </c>
      <c r="AW208" s="40" t="s">
        <v>152</v>
      </c>
      <c r="AX208" s="40" t="s">
        <v>345</v>
      </c>
      <c r="AY208" s="54">
        <v>20235920003943</v>
      </c>
    </row>
    <row r="209" spans="2:51" s="37" customFormat="1" ht="26.25" x14ac:dyDescent="0.25">
      <c r="B209" s="38">
        <v>208</v>
      </c>
      <c r="C209" s="39">
        <v>2023</v>
      </c>
      <c r="D209" s="40" t="s">
        <v>1765</v>
      </c>
      <c r="E209" s="41" t="s">
        <v>153</v>
      </c>
      <c r="F209" s="40" t="s">
        <v>97</v>
      </c>
      <c r="G209" s="40" t="s">
        <v>98</v>
      </c>
      <c r="H209" s="41" t="s">
        <v>1766</v>
      </c>
      <c r="I209" s="25" t="s">
        <v>1767</v>
      </c>
      <c r="J209" s="42" t="s">
        <v>1632</v>
      </c>
      <c r="K209" s="42" t="s">
        <v>1768</v>
      </c>
      <c r="L209" s="26">
        <v>1016030391</v>
      </c>
      <c r="M209" s="43" t="s">
        <v>1769</v>
      </c>
      <c r="N209" s="44" t="s">
        <v>1415</v>
      </c>
      <c r="O209" s="45">
        <f>81810000+5544900</f>
        <v>87354900</v>
      </c>
      <c r="P209" s="44">
        <v>44998</v>
      </c>
      <c r="Q209" s="43" t="s">
        <v>1770</v>
      </c>
      <c r="R209" s="46">
        <v>44999</v>
      </c>
      <c r="S209" s="45" t="s">
        <v>162</v>
      </c>
      <c r="T209" s="46">
        <v>45000</v>
      </c>
      <c r="U209" s="45">
        <v>20452500</v>
      </c>
      <c r="V209" s="43" t="s">
        <v>1771</v>
      </c>
      <c r="W209" s="44" t="s">
        <v>1772</v>
      </c>
      <c r="X209" s="47">
        <f>20452500+5544900</f>
        <v>25997400</v>
      </c>
      <c r="Y209" s="46">
        <v>45228</v>
      </c>
      <c r="Z209" s="48" t="s">
        <v>109</v>
      </c>
      <c r="AA209" s="49"/>
      <c r="AB209" s="48"/>
      <c r="AC209" s="26"/>
      <c r="AD209" s="48"/>
      <c r="AE209" s="49"/>
      <c r="AF209" s="49">
        <v>45222</v>
      </c>
      <c r="AG209" s="45">
        <v>5544900</v>
      </c>
      <c r="AH209" s="50">
        <f>U209+AG209</f>
        <v>25997400</v>
      </c>
      <c r="AI209" s="48" t="s">
        <v>1770</v>
      </c>
      <c r="AJ209" s="49">
        <v>45233</v>
      </c>
      <c r="AK209" s="49">
        <v>45222</v>
      </c>
      <c r="AL209" s="42" t="s">
        <v>1773</v>
      </c>
      <c r="AM209" s="48" t="s">
        <v>1770</v>
      </c>
      <c r="AN209" s="49">
        <v>45233</v>
      </c>
      <c r="AO209" s="38"/>
      <c r="AP209" s="38"/>
      <c r="AQ209" s="38"/>
      <c r="AR209" s="38"/>
      <c r="AS209" s="38"/>
      <c r="AT209" s="51"/>
      <c r="AU209" s="52"/>
      <c r="AV209" s="53">
        <v>45291</v>
      </c>
      <c r="AW209" s="41" t="s">
        <v>56</v>
      </c>
      <c r="AX209" s="40" t="s">
        <v>493</v>
      </c>
      <c r="AY209" s="54">
        <v>20235920003223</v>
      </c>
    </row>
    <row r="210" spans="2:51" s="37" customFormat="1" ht="17.25" customHeight="1" x14ac:dyDescent="0.25">
      <c r="B210" s="38">
        <v>209</v>
      </c>
      <c r="C210" s="39">
        <v>2023</v>
      </c>
      <c r="D210" s="40" t="s">
        <v>1774</v>
      </c>
      <c r="E210" s="41" t="s">
        <v>518</v>
      </c>
      <c r="F210" s="40" t="s">
        <v>97</v>
      </c>
      <c r="G210" s="40" t="s">
        <v>98</v>
      </c>
      <c r="H210" s="41" t="s">
        <v>1775</v>
      </c>
      <c r="I210" s="25" t="s">
        <v>569</v>
      </c>
      <c r="J210" s="42" t="s">
        <v>569</v>
      </c>
      <c r="K210" s="42" t="s">
        <v>1776</v>
      </c>
      <c r="L210" s="26">
        <v>1136887146</v>
      </c>
      <c r="M210" s="43">
        <v>1094</v>
      </c>
      <c r="N210" s="44">
        <v>44993</v>
      </c>
      <c r="O210" s="45">
        <v>38250000</v>
      </c>
      <c r="P210" s="43" t="s">
        <v>569</v>
      </c>
      <c r="Q210" s="43" t="s">
        <v>569</v>
      </c>
      <c r="R210" s="43" t="s">
        <v>569</v>
      </c>
      <c r="S210" s="43" t="s">
        <v>569</v>
      </c>
      <c r="T210" s="43" t="s">
        <v>569</v>
      </c>
      <c r="U210" s="43" t="s">
        <v>569</v>
      </c>
      <c r="V210" s="43" t="s">
        <v>569</v>
      </c>
      <c r="W210" s="44" t="s">
        <v>569</v>
      </c>
      <c r="X210" s="43" t="s">
        <v>569</v>
      </c>
      <c r="Y210" s="43" t="s">
        <v>569</v>
      </c>
      <c r="Z210" s="48" t="s">
        <v>120</v>
      </c>
      <c r="AA210" s="49" t="s">
        <v>121</v>
      </c>
      <c r="AB210" s="49" t="s">
        <v>121</v>
      </c>
      <c r="AC210" s="26" t="s">
        <v>121</v>
      </c>
      <c r="AD210" s="49" t="s">
        <v>121</v>
      </c>
      <c r="AE210" s="49" t="s">
        <v>121</v>
      </c>
      <c r="AF210" s="49" t="s">
        <v>121</v>
      </c>
      <c r="AG210" s="45" t="s">
        <v>121</v>
      </c>
      <c r="AH210" s="49" t="s">
        <v>121</v>
      </c>
      <c r="AI210" s="48" t="s">
        <v>121</v>
      </c>
      <c r="AJ210" s="49" t="s">
        <v>121</v>
      </c>
      <c r="AK210" s="49" t="s">
        <v>121</v>
      </c>
      <c r="AL210" s="42" t="s">
        <v>121</v>
      </c>
      <c r="AM210" s="48" t="s">
        <v>121</v>
      </c>
      <c r="AN210" s="48" t="s">
        <v>121</v>
      </c>
      <c r="AO210" s="49" t="s">
        <v>121</v>
      </c>
      <c r="AP210" s="49" t="s">
        <v>121</v>
      </c>
      <c r="AQ210" s="49" t="s">
        <v>121</v>
      </c>
      <c r="AR210" s="49" t="s">
        <v>121</v>
      </c>
      <c r="AS210" s="49" t="s">
        <v>121</v>
      </c>
      <c r="AT210" s="49" t="s">
        <v>121</v>
      </c>
      <c r="AU210" s="49" t="s">
        <v>121</v>
      </c>
      <c r="AV210" s="49" t="s">
        <v>121</v>
      </c>
      <c r="AW210" s="41" t="s">
        <v>569</v>
      </c>
      <c r="AX210" s="41" t="s">
        <v>569</v>
      </c>
      <c r="AY210" s="54" t="s">
        <v>569</v>
      </c>
    </row>
    <row r="211" spans="2:51" s="37" customFormat="1" ht="17.25" customHeight="1" x14ac:dyDescent="0.25">
      <c r="B211" s="38">
        <v>210</v>
      </c>
      <c r="C211" s="39">
        <v>2023</v>
      </c>
      <c r="D211" s="40" t="s">
        <v>1777</v>
      </c>
      <c r="E211" s="41" t="s">
        <v>199</v>
      </c>
      <c r="F211" s="40" t="s">
        <v>97</v>
      </c>
      <c r="G211" s="40" t="s">
        <v>98</v>
      </c>
      <c r="H211" s="41" t="s">
        <v>1778</v>
      </c>
      <c r="I211" s="25" t="s">
        <v>1779</v>
      </c>
      <c r="J211" s="42" t="s">
        <v>1780</v>
      </c>
      <c r="K211" s="42" t="s">
        <v>1781</v>
      </c>
      <c r="L211" s="26">
        <v>53030997</v>
      </c>
      <c r="M211" s="43">
        <v>1090</v>
      </c>
      <c r="N211" s="44">
        <v>44991</v>
      </c>
      <c r="O211" s="45">
        <v>56250000</v>
      </c>
      <c r="P211" s="44">
        <v>44998</v>
      </c>
      <c r="Q211" s="43" t="s">
        <v>1782</v>
      </c>
      <c r="R211" s="46">
        <v>45001</v>
      </c>
      <c r="S211" s="45" t="s">
        <v>162</v>
      </c>
      <c r="T211" s="46">
        <v>45001</v>
      </c>
      <c r="U211" s="45">
        <v>18750000</v>
      </c>
      <c r="V211" s="43">
        <v>1072</v>
      </c>
      <c r="W211" s="44">
        <v>44999</v>
      </c>
      <c r="X211" s="47">
        <v>18750000</v>
      </c>
      <c r="Y211" s="46">
        <v>45229</v>
      </c>
      <c r="Z211" s="48" t="s">
        <v>120</v>
      </c>
      <c r="AA211" s="49" t="s">
        <v>121</v>
      </c>
      <c r="AB211" s="48" t="s">
        <v>121</v>
      </c>
      <c r="AC211" s="26" t="s">
        <v>121</v>
      </c>
      <c r="AD211" s="48" t="s">
        <v>121</v>
      </c>
      <c r="AE211" s="49" t="s">
        <v>121</v>
      </c>
      <c r="AF211" s="48" t="s">
        <v>121</v>
      </c>
      <c r="AG211" s="45" t="s">
        <v>121</v>
      </c>
      <c r="AH211" s="50" t="s">
        <v>121</v>
      </c>
      <c r="AI211" s="48" t="s">
        <v>121</v>
      </c>
      <c r="AJ211" s="48" t="s">
        <v>121</v>
      </c>
      <c r="AK211" s="48" t="s">
        <v>121</v>
      </c>
      <c r="AL211" s="42" t="s">
        <v>121</v>
      </c>
      <c r="AM211" s="48" t="s">
        <v>121</v>
      </c>
      <c r="AN211" s="48" t="s">
        <v>121</v>
      </c>
      <c r="AO211" s="38" t="s">
        <v>121</v>
      </c>
      <c r="AP211" s="38" t="s">
        <v>121</v>
      </c>
      <c r="AQ211" s="38" t="s">
        <v>121</v>
      </c>
      <c r="AR211" s="38" t="s">
        <v>121</v>
      </c>
      <c r="AS211" s="38" t="s">
        <v>121</v>
      </c>
      <c r="AT211" s="51" t="s">
        <v>121</v>
      </c>
      <c r="AU211" s="52" t="s">
        <v>121</v>
      </c>
      <c r="AV211" s="38" t="s">
        <v>121</v>
      </c>
      <c r="AW211" s="41" t="s">
        <v>122</v>
      </c>
      <c r="AX211" s="40" t="s">
        <v>271</v>
      </c>
      <c r="AY211" s="54">
        <v>20235920003633</v>
      </c>
    </row>
    <row r="212" spans="2:51" s="37" customFormat="1" ht="26.25" x14ac:dyDescent="0.25">
      <c r="B212" s="38">
        <v>211</v>
      </c>
      <c r="C212" s="39">
        <v>2023</v>
      </c>
      <c r="D212" s="40" t="s">
        <v>1783</v>
      </c>
      <c r="E212" s="41" t="s">
        <v>199</v>
      </c>
      <c r="F212" s="40" t="s">
        <v>97</v>
      </c>
      <c r="G212" s="40" t="s">
        <v>98</v>
      </c>
      <c r="H212" s="41" t="s">
        <v>1784</v>
      </c>
      <c r="I212" s="25" t="s">
        <v>1785</v>
      </c>
      <c r="J212" s="42" t="s">
        <v>1780</v>
      </c>
      <c r="K212" s="42" t="s">
        <v>1314</v>
      </c>
      <c r="L212" s="26">
        <v>79671289</v>
      </c>
      <c r="M212" s="43" t="s">
        <v>1786</v>
      </c>
      <c r="N212" s="44" t="s">
        <v>1575</v>
      </c>
      <c r="O212" s="45">
        <f>56250000+5166667</f>
        <v>61416667</v>
      </c>
      <c r="P212" s="44">
        <v>44998</v>
      </c>
      <c r="Q212" s="43" t="s">
        <v>1787</v>
      </c>
      <c r="R212" s="46">
        <v>44999</v>
      </c>
      <c r="S212" s="45" t="s">
        <v>162</v>
      </c>
      <c r="T212" s="46">
        <v>44999</v>
      </c>
      <c r="U212" s="45">
        <v>18750000</v>
      </c>
      <c r="V212" s="43" t="s">
        <v>1788</v>
      </c>
      <c r="W212" s="44" t="s">
        <v>1789</v>
      </c>
      <c r="X212" s="47">
        <f>18750000+5166667</f>
        <v>23916667</v>
      </c>
      <c r="Y212" s="46">
        <v>45227</v>
      </c>
      <c r="Z212" s="48" t="s">
        <v>109</v>
      </c>
      <c r="AA212" s="49"/>
      <c r="AB212" s="48"/>
      <c r="AC212" s="26"/>
      <c r="AD212" s="48"/>
      <c r="AE212" s="49"/>
      <c r="AF212" s="49">
        <v>45225</v>
      </c>
      <c r="AG212" s="45">
        <v>5166667</v>
      </c>
      <c r="AH212" s="50">
        <f>U212+AG212</f>
        <v>23916667</v>
      </c>
      <c r="AI212" s="48" t="s">
        <v>1787</v>
      </c>
      <c r="AJ212" s="49">
        <v>45233</v>
      </c>
      <c r="AK212" s="49">
        <v>45225</v>
      </c>
      <c r="AL212" s="42" t="s">
        <v>1724</v>
      </c>
      <c r="AM212" s="48" t="s">
        <v>1787</v>
      </c>
      <c r="AN212" s="49">
        <v>45233</v>
      </c>
      <c r="AO212" s="38"/>
      <c r="AP212" s="38"/>
      <c r="AQ212" s="38"/>
      <c r="AR212" s="38"/>
      <c r="AS212" s="38"/>
      <c r="AT212" s="51"/>
      <c r="AU212" s="52"/>
      <c r="AV212" s="53">
        <v>45289</v>
      </c>
      <c r="AW212" s="41" t="s">
        <v>56</v>
      </c>
      <c r="AX212" s="40" t="s">
        <v>271</v>
      </c>
      <c r="AY212" s="54">
        <v>20235920003633</v>
      </c>
    </row>
    <row r="213" spans="2:51" s="37" customFormat="1" ht="17.25" customHeight="1" x14ac:dyDescent="0.25">
      <c r="B213" s="38">
        <v>212</v>
      </c>
      <c r="C213" s="39">
        <v>2023</v>
      </c>
      <c r="D213" s="40" t="s">
        <v>1790</v>
      </c>
      <c r="E213" s="41" t="s">
        <v>96</v>
      </c>
      <c r="F213" s="40" t="s">
        <v>97</v>
      </c>
      <c r="G213" s="40" t="s">
        <v>98</v>
      </c>
      <c r="H213" s="41" t="s">
        <v>1791</v>
      </c>
      <c r="I213" s="25" t="s">
        <v>1792</v>
      </c>
      <c r="J213" s="42" t="s">
        <v>509</v>
      </c>
      <c r="K213" s="42" t="s">
        <v>1793</v>
      </c>
      <c r="L213" s="26">
        <v>1019120688</v>
      </c>
      <c r="M213" s="43">
        <v>1030</v>
      </c>
      <c r="N213" s="44">
        <v>44973</v>
      </c>
      <c r="O213" s="45">
        <v>108000000</v>
      </c>
      <c r="P213" s="44">
        <v>44995</v>
      </c>
      <c r="Q213" s="43" t="s">
        <v>1794</v>
      </c>
      <c r="R213" s="46">
        <v>45007</v>
      </c>
      <c r="S213" s="45" t="s">
        <v>344</v>
      </c>
      <c r="T213" s="46">
        <v>45008</v>
      </c>
      <c r="U213" s="45">
        <v>10800000</v>
      </c>
      <c r="V213" s="43">
        <v>1070</v>
      </c>
      <c r="W213" s="44">
        <v>44998</v>
      </c>
      <c r="X213" s="47">
        <v>10800000</v>
      </c>
      <c r="Y213" s="46">
        <v>45129</v>
      </c>
      <c r="Z213" s="48" t="s">
        <v>120</v>
      </c>
      <c r="AA213" s="49" t="s">
        <v>121</v>
      </c>
      <c r="AB213" s="48" t="s">
        <v>1795</v>
      </c>
      <c r="AC213" s="26" t="s">
        <v>121</v>
      </c>
      <c r="AD213" s="48" t="s">
        <v>121</v>
      </c>
      <c r="AE213" s="49" t="s">
        <v>121</v>
      </c>
      <c r="AF213" s="48" t="s">
        <v>121</v>
      </c>
      <c r="AG213" s="48" t="s">
        <v>121</v>
      </c>
      <c r="AH213" s="48" t="s">
        <v>121</v>
      </c>
      <c r="AI213" s="48" t="s">
        <v>121</v>
      </c>
      <c r="AJ213" s="48" t="s">
        <v>121</v>
      </c>
      <c r="AK213" s="48" t="s">
        <v>121</v>
      </c>
      <c r="AL213" s="42" t="s">
        <v>121</v>
      </c>
      <c r="AM213" s="48" t="s">
        <v>121</v>
      </c>
      <c r="AN213" s="48" t="s">
        <v>121</v>
      </c>
      <c r="AO213" s="49" t="s">
        <v>121</v>
      </c>
      <c r="AP213" s="49" t="s">
        <v>121</v>
      </c>
      <c r="AQ213" s="49" t="s">
        <v>121</v>
      </c>
      <c r="AR213" s="49" t="s">
        <v>121</v>
      </c>
      <c r="AS213" s="49" t="s">
        <v>121</v>
      </c>
      <c r="AT213" s="49" t="s">
        <v>121</v>
      </c>
      <c r="AU213" s="49" t="s">
        <v>121</v>
      </c>
      <c r="AV213" s="38"/>
      <c r="AW213" s="41" t="s">
        <v>122</v>
      </c>
      <c r="AX213" s="40" t="s">
        <v>417</v>
      </c>
      <c r="AY213" s="54">
        <v>20235920004143</v>
      </c>
    </row>
    <row r="214" spans="2:51" s="37" customFormat="1" ht="15" x14ac:dyDescent="0.25">
      <c r="B214" s="38">
        <v>213</v>
      </c>
      <c r="C214" s="39">
        <v>2023</v>
      </c>
      <c r="D214" s="40" t="s">
        <v>1796</v>
      </c>
      <c r="E214" s="41" t="s">
        <v>96</v>
      </c>
      <c r="F214" s="40" t="s">
        <v>97</v>
      </c>
      <c r="G214" s="40" t="s">
        <v>98</v>
      </c>
      <c r="H214" s="41" t="s">
        <v>1797</v>
      </c>
      <c r="I214" s="25" t="s">
        <v>1798</v>
      </c>
      <c r="J214" s="42" t="s">
        <v>509</v>
      </c>
      <c r="K214" s="42" t="s">
        <v>1799</v>
      </c>
      <c r="L214" s="26">
        <v>1016033354</v>
      </c>
      <c r="M214" s="43">
        <v>1030</v>
      </c>
      <c r="N214" s="44">
        <v>44973</v>
      </c>
      <c r="O214" s="45">
        <v>108000000</v>
      </c>
      <c r="P214" s="44">
        <v>44995</v>
      </c>
      <c r="Q214" s="43" t="s">
        <v>1800</v>
      </c>
      <c r="R214" s="46">
        <v>45002</v>
      </c>
      <c r="S214" s="45" t="s">
        <v>344</v>
      </c>
      <c r="T214" s="46">
        <v>45006</v>
      </c>
      <c r="U214" s="45">
        <v>10800000</v>
      </c>
      <c r="V214" s="43">
        <v>1068</v>
      </c>
      <c r="W214" s="44">
        <v>44998</v>
      </c>
      <c r="X214" s="47">
        <v>10800000</v>
      </c>
      <c r="Y214" s="46">
        <v>45127</v>
      </c>
      <c r="Z214" s="48" t="s">
        <v>109</v>
      </c>
      <c r="AA214" s="49" t="s">
        <v>121</v>
      </c>
      <c r="AB214" s="49" t="s">
        <v>121</v>
      </c>
      <c r="AC214" s="26" t="s">
        <v>121</v>
      </c>
      <c r="AD214" s="49" t="s">
        <v>121</v>
      </c>
      <c r="AE214" s="49" t="s">
        <v>121</v>
      </c>
      <c r="AF214" s="48" t="s">
        <v>121</v>
      </c>
      <c r="AG214" s="48" t="s">
        <v>121</v>
      </c>
      <c r="AH214" s="48" t="s">
        <v>121</v>
      </c>
      <c r="AI214" s="48" t="s">
        <v>121</v>
      </c>
      <c r="AJ214" s="48" t="s">
        <v>121</v>
      </c>
      <c r="AK214" s="48" t="s">
        <v>121</v>
      </c>
      <c r="AL214" s="42" t="s">
        <v>121</v>
      </c>
      <c r="AM214" s="48" t="s">
        <v>121</v>
      </c>
      <c r="AN214" s="48" t="s">
        <v>121</v>
      </c>
      <c r="AO214" s="49" t="s">
        <v>121</v>
      </c>
      <c r="AP214" s="49" t="s">
        <v>121</v>
      </c>
      <c r="AQ214" s="49" t="s">
        <v>121</v>
      </c>
      <c r="AR214" s="49" t="s">
        <v>121</v>
      </c>
      <c r="AS214" s="49" t="s">
        <v>121</v>
      </c>
      <c r="AT214" s="49" t="s">
        <v>121</v>
      </c>
      <c r="AU214" s="49" t="s">
        <v>121</v>
      </c>
      <c r="AV214" s="53">
        <v>45058</v>
      </c>
      <c r="AW214" s="40" t="s">
        <v>152</v>
      </c>
      <c r="AX214" s="40" t="s">
        <v>417</v>
      </c>
      <c r="AY214" s="54">
        <v>20235920003763</v>
      </c>
    </row>
    <row r="215" spans="2:51" s="37" customFormat="1" ht="17.25" customHeight="1" x14ac:dyDescent="0.25">
      <c r="B215" s="38">
        <v>214</v>
      </c>
      <c r="C215" s="39">
        <v>2023</v>
      </c>
      <c r="D215" s="40" t="s">
        <v>1801</v>
      </c>
      <c r="E215" s="41" t="s">
        <v>518</v>
      </c>
      <c r="F215" s="40" t="s">
        <v>97</v>
      </c>
      <c r="G215" s="40" t="s">
        <v>98</v>
      </c>
      <c r="H215" s="41" t="s">
        <v>1802</v>
      </c>
      <c r="I215" s="25" t="s">
        <v>1803</v>
      </c>
      <c r="J215" s="42" t="s">
        <v>116</v>
      </c>
      <c r="K215" s="42" t="s">
        <v>1804</v>
      </c>
      <c r="L215" s="26">
        <v>1032450695</v>
      </c>
      <c r="M215" s="43">
        <v>1056</v>
      </c>
      <c r="N215" s="44">
        <v>44980</v>
      </c>
      <c r="O215" s="45">
        <v>37500000</v>
      </c>
      <c r="P215" s="44">
        <v>45001</v>
      </c>
      <c r="Q215" s="43" t="s">
        <v>1805</v>
      </c>
      <c r="R215" s="46">
        <v>45001</v>
      </c>
      <c r="S215" s="45" t="s">
        <v>119</v>
      </c>
      <c r="T215" s="46">
        <v>45002</v>
      </c>
      <c r="U215" s="45">
        <v>12500000</v>
      </c>
      <c r="V215" s="43">
        <v>1075</v>
      </c>
      <c r="W215" s="44">
        <v>45001</v>
      </c>
      <c r="X215" s="47">
        <v>12500000</v>
      </c>
      <c r="Y215" s="46">
        <v>45154</v>
      </c>
      <c r="Z215" s="48" t="s">
        <v>109</v>
      </c>
      <c r="AA215" s="49" t="s">
        <v>121</v>
      </c>
      <c r="AB215" s="49" t="s">
        <v>121</v>
      </c>
      <c r="AC215" s="26" t="s">
        <v>121</v>
      </c>
      <c r="AD215" s="49" t="s">
        <v>121</v>
      </c>
      <c r="AE215" s="49" t="s">
        <v>121</v>
      </c>
      <c r="AF215" s="48" t="s">
        <v>121</v>
      </c>
      <c r="AG215" s="56" t="s">
        <v>121</v>
      </c>
      <c r="AH215" s="50" t="s">
        <v>121</v>
      </c>
      <c r="AI215" s="48" t="s">
        <v>121</v>
      </c>
      <c r="AJ215" s="39" t="s">
        <v>121</v>
      </c>
      <c r="AK215" s="39" t="s">
        <v>121</v>
      </c>
      <c r="AL215" s="39" t="s">
        <v>121</v>
      </c>
      <c r="AM215" s="39" t="s">
        <v>121</v>
      </c>
      <c r="AN215" s="39" t="s">
        <v>121</v>
      </c>
      <c r="AO215" s="39" t="s">
        <v>121</v>
      </c>
      <c r="AP215" s="39" t="s">
        <v>121</v>
      </c>
      <c r="AQ215" s="39" t="s">
        <v>121</v>
      </c>
      <c r="AR215" s="39" t="s">
        <v>121</v>
      </c>
      <c r="AS215" s="39" t="s">
        <v>121</v>
      </c>
      <c r="AT215" s="39" t="s">
        <v>121</v>
      </c>
      <c r="AU215" s="58" t="s">
        <v>121</v>
      </c>
      <c r="AV215" s="53">
        <v>45103</v>
      </c>
      <c r="AW215" s="40" t="s">
        <v>152</v>
      </c>
      <c r="AX215" s="40" t="s">
        <v>123</v>
      </c>
      <c r="AY215" s="54">
        <v>20235920003413</v>
      </c>
    </row>
    <row r="216" spans="2:51" s="37" customFormat="1" ht="26.25" x14ac:dyDescent="0.25">
      <c r="B216" s="38">
        <v>215</v>
      </c>
      <c r="C216" s="39">
        <v>2023</v>
      </c>
      <c r="D216" s="40" t="s">
        <v>1806</v>
      </c>
      <c r="E216" s="41" t="s">
        <v>518</v>
      </c>
      <c r="F216" s="40" t="s">
        <v>97</v>
      </c>
      <c r="G216" s="40" t="s">
        <v>98</v>
      </c>
      <c r="H216" s="41" t="s">
        <v>1807</v>
      </c>
      <c r="I216" s="25" t="s">
        <v>1808</v>
      </c>
      <c r="J216" s="42" t="s">
        <v>838</v>
      </c>
      <c r="K216" s="42" t="s">
        <v>1809</v>
      </c>
      <c r="L216" s="26">
        <v>15664177</v>
      </c>
      <c r="M216" s="43" t="s">
        <v>1810</v>
      </c>
      <c r="N216" s="44" t="s">
        <v>1811</v>
      </c>
      <c r="O216" s="45">
        <f>30750000+8200000</f>
        <v>38950000</v>
      </c>
      <c r="P216" s="44">
        <v>44999</v>
      </c>
      <c r="Q216" s="43" t="s">
        <v>1812</v>
      </c>
      <c r="R216" s="46">
        <v>45001</v>
      </c>
      <c r="S216" s="45" t="s">
        <v>162</v>
      </c>
      <c r="T216" s="46">
        <v>45001</v>
      </c>
      <c r="U216" s="45">
        <v>30750000</v>
      </c>
      <c r="V216" s="43" t="s">
        <v>1813</v>
      </c>
      <c r="W216" s="44" t="s">
        <v>1814</v>
      </c>
      <c r="X216" s="47">
        <f>30750000+8200000</f>
        <v>38950000</v>
      </c>
      <c r="Y216" s="46">
        <v>45229</v>
      </c>
      <c r="Z216" s="48" t="s">
        <v>109</v>
      </c>
      <c r="AA216" s="49"/>
      <c r="AB216" s="48"/>
      <c r="AC216" s="26"/>
      <c r="AD216" s="48"/>
      <c r="AE216" s="49"/>
      <c r="AF216" s="49">
        <v>45216</v>
      </c>
      <c r="AG216" s="45">
        <v>8200000</v>
      </c>
      <c r="AH216" s="50">
        <f>U216+AG216</f>
        <v>38950000</v>
      </c>
      <c r="AI216" s="48" t="s">
        <v>1815</v>
      </c>
      <c r="AJ216" s="49">
        <v>45219</v>
      </c>
      <c r="AK216" s="49">
        <v>45216</v>
      </c>
      <c r="AL216" s="42" t="s">
        <v>1816</v>
      </c>
      <c r="AM216" s="48" t="s">
        <v>1815</v>
      </c>
      <c r="AN216" s="49">
        <v>45219</v>
      </c>
      <c r="AO216" s="38"/>
      <c r="AP216" s="38"/>
      <c r="AQ216" s="38"/>
      <c r="AR216" s="38"/>
      <c r="AS216" s="38"/>
      <c r="AT216" s="51"/>
      <c r="AU216" s="52"/>
      <c r="AV216" s="53">
        <v>45291</v>
      </c>
      <c r="AW216" s="41" t="s">
        <v>56</v>
      </c>
      <c r="AX216" s="40" t="s">
        <v>845</v>
      </c>
      <c r="AY216" s="54">
        <v>20235920003693</v>
      </c>
    </row>
    <row r="217" spans="2:51" s="37" customFormat="1" ht="26.25" x14ac:dyDescent="0.25">
      <c r="B217" s="38">
        <v>216</v>
      </c>
      <c r="C217" s="39">
        <v>2023</v>
      </c>
      <c r="D217" s="40" t="s">
        <v>1817</v>
      </c>
      <c r="E217" s="41" t="s">
        <v>199</v>
      </c>
      <c r="F217" s="40" t="s">
        <v>97</v>
      </c>
      <c r="G217" s="40" t="s">
        <v>98</v>
      </c>
      <c r="H217" s="41" t="s">
        <v>1818</v>
      </c>
      <c r="I217" s="25" t="s">
        <v>1819</v>
      </c>
      <c r="J217" s="42" t="s">
        <v>1551</v>
      </c>
      <c r="K217" s="42" t="s">
        <v>1820</v>
      </c>
      <c r="L217" s="26">
        <v>1024602917</v>
      </c>
      <c r="M217" s="43" t="s">
        <v>1821</v>
      </c>
      <c r="N217" s="44" t="s">
        <v>1822</v>
      </c>
      <c r="O217" s="45">
        <f>101250000+4860000</f>
        <v>106110000</v>
      </c>
      <c r="P217" s="44">
        <v>45001</v>
      </c>
      <c r="Q217" s="43" t="s">
        <v>1823</v>
      </c>
      <c r="R217" s="46">
        <v>45007</v>
      </c>
      <c r="S217" s="45" t="s">
        <v>162</v>
      </c>
      <c r="T217" s="46">
        <v>45007</v>
      </c>
      <c r="U217" s="45">
        <v>20250000</v>
      </c>
      <c r="V217" s="43" t="s">
        <v>1824</v>
      </c>
      <c r="W217" s="44" t="s">
        <v>1825</v>
      </c>
      <c r="X217" s="47">
        <f>20250000+4860000</f>
        <v>25110000</v>
      </c>
      <c r="Y217" s="46">
        <v>45236</v>
      </c>
      <c r="Z217" s="48" t="s">
        <v>109</v>
      </c>
      <c r="AA217" s="49">
        <v>45113</v>
      </c>
      <c r="AB217" s="48" t="s">
        <v>1826</v>
      </c>
      <c r="AC217" s="26">
        <v>1069730215</v>
      </c>
      <c r="AD217" s="48" t="s">
        <v>1827</v>
      </c>
      <c r="AE217" s="49">
        <v>45114</v>
      </c>
      <c r="AF217" s="49">
        <v>45233</v>
      </c>
      <c r="AG217" s="45">
        <v>4860000</v>
      </c>
      <c r="AH217" s="50">
        <f>U217+AG217</f>
        <v>25110000</v>
      </c>
      <c r="AI217" s="48" t="s">
        <v>1827</v>
      </c>
      <c r="AJ217" s="49">
        <v>45239</v>
      </c>
      <c r="AK217" s="49">
        <v>45233</v>
      </c>
      <c r="AL217" s="42" t="s">
        <v>1828</v>
      </c>
      <c r="AM217" s="48" t="s">
        <v>1827</v>
      </c>
      <c r="AN217" s="49">
        <v>45239</v>
      </c>
      <c r="AO217" s="38"/>
      <c r="AP217" s="38"/>
      <c r="AQ217" s="38"/>
      <c r="AR217" s="38"/>
      <c r="AS217" s="38"/>
      <c r="AT217" s="51"/>
      <c r="AU217" s="52"/>
      <c r="AV217" s="53">
        <v>45291</v>
      </c>
      <c r="AW217" s="41" t="s">
        <v>137</v>
      </c>
      <c r="AX217" s="40" t="s">
        <v>1257</v>
      </c>
      <c r="AY217" s="54">
        <v>20235920009173</v>
      </c>
    </row>
    <row r="218" spans="2:51" s="37" customFormat="1" ht="26.25" x14ac:dyDescent="0.25">
      <c r="B218" s="38">
        <v>217</v>
      </c>
      <c r="C218" s="39">
        <v>2023</v>
      </c>
      <c r="D218" s="40" t="s">
        <v>1829</v>
      </c>
      <c r="E218" s="41" t="s">
        <v>199</v>
      </c>
      <c r="F218" s="40" t="s">
        <v>97</v>
      </c>
      <c r="G218" s="40" t="s">
        <v>98</v>
      </c>
      <c r="H218" s="41" t="s">
        <v>1830</v>
      </c>
      <c r="I218" s="25" t="s">
        <v>1831</v>
      </c>
      <c r="J218" s="42" t="s">
        <v>1551</v>
      </c>
      <c r="K218" s="42" t="s">
        <v>1832</v>
      </c>
      <c r="L218" s="26">
        <v>1023035938</v>
      </c>
      <c r="M218" s="43" t="s">
        <v>1833</v>
      </c>
      <c r="N218" s="44" t="s">
        <v>1822</v>
      </c>
      <c r="O218" s="45">
        <f>101250000+4950000</f>
        <v>106200000</v>
      </c>
      <c r="P218" s="44">
        <v>45001</v>
      </c>
      <c r="Q218" s="43" t="s">
        <v>1834</v>
      </c>
      <c r="R218" s="46">
        <v>45002</v>
      </c>
      <c r="S218" s="45" t="s">
        <v>162</v>
      </c>
      <c r="T218" s="46">
        <v>45006</v>
      </c>
      <c r="U218" s="45">
        <v>20250000</v>
      </c>
      <c r="V218" s="43" t="s">
        <v>1835</v>
      </c>
      <c r="W218" s="44" t="s">
        <v>1825</v>
      </c>
      <c r="X218" s="47">
        <f>20250000+4950000</f>
        <v>25200000</v>
      </c>
      <c r="Y218" s="46">
        <v>45235</v>
      </c>
      <c r="Z218" s="48" t="s">
        <v>109</v>
      </c>
      <c r="AA218" s="49"/>
      <c r="AB218" s="48"/>
      <c r="AC218" s="26"/>
      <c r="AD218" s="48"/>
      <c r="AE218" s="49"/>
      <c r="AF218" s="49">
        <v>45233</v>
      </c>
      <c r="AG218" s="45">
        <v>4950000</v>
      </c>
      <c r="AH218" s="50">
        <f>U218+AG218</f>
        <v>25200000</v>
      </c>
      <c r="AI218" s="48" t="s">
        <v>1834</v>
      </c>
      <c r="AJ218" s="49">
        <v>45244</v>
      </c>
      <c r="AK218" s="49">
        <v>45233</v>
      </c>
      <c r="AL218" s="42" t="s">
        <v>1836</v>
      </c>
      <c r="AM218" s="48" t="s">
        <v>1834</v>
      </c>
      <c r="AN218" s="49">
        <v>45244</v>
      </c>
      <c r="AO218" s="38"/>
      <c r="AP218" s="38"/>
      <c r="AQ218" s="38"/>
      <c r="AR218" s="38"/>
      <c r="AS218" s="38"/>
      <c r="AT218" s="51"/>
      <c r="AU218" s="52"/>
      <c r="AV218" s="53">
        <v>45291</v>
      </c>
      <c r="AW218" s="41" t="s">
        <v>56</v>
      </c>
      <c r="AX218" s="40" t="s">
        <v>1257</v>
      </c>
      <c r="AY218" s="54">
        <v>20235920009173</v>
      </c>
    </row>
    <row r="219" spans="2:51" s="37" customFormat="1" ht="26.25" x14ac:dyDescent="0.25">
      <c r="B219" s="38">
        <v>218</v>
      </c>
      <c r="C219" s="39">
        <v>2023</v>
      </c>
      <c r="D219" s="40" t="s">
        <v>1837</v>
      </c>
      <c r="E219" s="41" t="s">
        <v>128</v>
      </c>
      <c r="F219" s="40" t="s">
        <v>97</v>
      </c>
      <c r="G219" s="40" t="s">
        <v>98</v>
      </c>
      <c r="H219" s="41" t="s">
        <v>1838</v>
      </c>
      <c r="I219" s="25" t="s">
        <v>1839</v>
      </c>
      <c r="J219" s="42" t="s">
        <v>1209</v>
      </c>
      <c r="K219" s="42" t="s">
        <v>1840</v>
      </c>
      <c r="L219" s="26">
        <v>1099212999</v>
      </c>
      <c r="M219" s="43" t="s">
        <v>1841</v>
      </c>
      <c r="N219" s="44" t="s">
        <v>1842</v>
      </c>
      <c r="O219" s="45">
        <f>45000000+11800000</f>
        <v>56800000</v>
      </c>
      <c r="P219" s="44">
        <v>44999</v>
      </c>
      <c r="Q219" s="43" t="s">
        <v>1843</v>
      </c>
      <c r="R219" s="46">
        <v>45002</v>
      </c>
      <c r="S219" s="45" t="s">
        <v>162</v>
      </c>
      <c r="T219" s="46">
        <v>45002</v>
      </c>
      <c r="U219" s="45">
        <v>45000000</v>
      </c>
      <c r="V219" s="43" t="s">
        <v>1844</v>
      </c>
      <c r="W219" s="44" t="s">
        <v>1845</v>
      </c>
      <c r="X219" s="47">
        <f>45000000+11800000</f>
        <v>56800000</v>
      </c>
      <c r="Y219" s="46">
        <v>45231</v>
      </c>
      <c r="Z219" s="48" t="s">
        <v>109</v>
      </c>
      <c r="AA219" s="49"/>
      <c r="AB219" s="48"/>
      <c r="AC219" s="26"/>
      <c r="AD219" s="48"/>
      <c r="AE219" s="49"/>
      <c r="AF219" s="49">
        <v>45231</v>
      </c>
      <c r="AG219" s="45">
        <v>11800000</v>
      </c>
      <c r="AH219" s="50">
        <f>U219+AG219</f>
        <v>56800000</v>
      </c>
      <c r="AI219" s="48" t="s">
        <v>1843</v>
      </c>
      <c r="AJ219" s="49">
        <v>45239</v>
      </c>
      <c r="AK219" s="49">
        <v>45231</v>
      </c>
      <c r="AL219" s="42" t="s">
        <v>1846</v>
      </c>
      <c r="AM219" s="48" t="s">
        <v>1843</v>
      </c>
      <c r="AN219" s="49">
        <v>45239</v>
      </c>
      <c r="AO219" s="38"/>
      <c r="AP219" s="38"/>
      <c r="AQ219" s="38"/>
      <c r="AR219" s="38"/>
      <c r="AS219" s="38"/>
      <c r="AT219" s="51"/>
      <c r="AU219" s="52"/>
      <c r="AV219" s="53">
        <v>45291</v>
      </c>
      <c r="AW219" s="41" t="s">
        <v>56</v>
      </c>
      <c r="AX219" s="40" t="s">
        <v>758</v>
      </c>
      <c r="AY219" s="54">
        <v>20235920003583</v>
      </c>
    </row>
    <row r="220" spans="2:51" s="37" customFormat="1" ht="26.25" x14ac:dyDescent="0.25">
      <c r="B220" s="38">
        <v>219</v>
      </c>
      <c r="C220" s="39">
        <v>2023</v>
      </c>
      <c r="D220" s="40" t="s">
        <v>1847</v>
      </c>
      <c r="E220" s="41" t="s">
        <v>128</v>
      </c>
      <c r="F220" s="40" t="s">
        <v>97</v>
      </c>
      <c r="G220" s="40" t="s">
        <v>98</v>
      </c>
      <c r="H220" s="41" t="s">
        <v>1848</v>
      </c>
      <c r="I220" s="25" t="s">
        <v>1849</v>
      </c>
      <c r="J220" s="42" t="s">
        <v>462</v>
      </c>
      <c r="K220" s="42" t="s">
        <v>1850</v>
      </c>
      <c r="L220" s="26">
        <v>52052978</v>
      </c>
      <c r="M220" s="43" t="s">
        <v>1851</v>
      </c>
      <c r="N220" s="44" t="s">
        <v>1852</v>
      </c>
      <c r="O220" s="45">
        <f>97500000+11916667</f>
        <v>109416667</v>
      </c>
      <c r="P220" s="44">
        <v>44999</v>
      </c>
      <c r="Q220" s="43" t="s">
        <v>1853</v>
      </c>
      <c r="R220" s="46">
        <v>45002</v>
      </c>
      <c r="S220" s="45" t="s">
        <v>162</v>
      </c>
      <c r="T220" s="46">
        <v>45006</v>
      </c>
      <c r="U220" s="45">
        <v>48750000</v>
      </c>
      <c r="V220" s="43" t="s">
        <v>1854</v>
      </c>
      <c r="W220" s="44" t="s">
        <v>1855</v>
      </c>
      <c r="X220" s="47">
        <f>48750000+11916667</f>
        <v>60666667</v>
      </c>
      <c r="Y220" s="46">
        <v>45235</v>
      </c>
      <c r="Z220" s="48" t="s">
        <v>109</v>
      </c>
      <c r="AA220" s="49"/>
      <c r="AB220" s="48"/>
      <c r="AC220" s="26"/>
      <c r="AD220" s="48"/>
      <c r="AE220" s="49"/>
      <c r="AF220" s="49">
        <v>45233</v>
      </c>
      <c r="AG220" s="45">
        <v>11916667</v>
      </c>
      <c r="AH220" s="50">
        <f>U220+AG220</f>
        <v>60666667</v>
      </c>
      <c r="AI220" s="48" t="s">
        <v>1853</v>
      </c>
      <c r="AJ220" s="49">
        <v>45239</v>
      </c>
      <c r="AK220" s="49">
        <v>45233</v>
      </c>
      <c r="AL220" s="42" t="s">
        <v>1836</v>
      </c>
      <c r="AM220" s="48" t="s">
        <v>1853</v>
      </c>
      <c r="AN220" s="49">
        <v>45239</v>
      </c>
      <c r="AO220" s="38"/>
      <c r="AP220" s="38"/>
      <c r="AQ220" s="38"/>
      <c r="AR220" s="38"/>
      <c r="AS220" s="38"/>
      <c r="AT220" s="51"/>
      <c r="AU220" s="52"/>
      <c r="AV220" s="53">
        <v>45291</v>
      </c>
      <c r="AW220" s="41" t="s">
        <v>56</v>
      </c>
      <c r="AX220" s="40" t="s">
        <v>467</v>
      </c>
      <c r="AY220" s="54">
        <v>20235920004943</v>
      </c>
    </row>
    <row r="221" spans="2:51" s="37" customFormat="1" ht="17.25" customHeight="1" x14ac:dyDescent="0.25">
      <c r="B221" s="38">
        <v>220</v>
      </c>
      <c r="C221" s="39">
        <v>2023</v>
      </c>
      <c r="D221" s="40" t="s">
        <v>1856</v>
      </c>
      <c r="E221" s="41" t="s">
        <v>199</v>
      </c>
      <c r="F221" s="40" t="s">
        <v>97</v>
      </c>
      <c r="G221" s="40" t="s">
        <v>98</v>
      </c>
      <c r="H221" s="41" t="s">
        <v>1857</v>
      </c>
      <c r="I221" s="25" t="s">
        <v>569</v>
      </c>
      <c r="J221" s="42" t="s">
        <v>569</v>
      </c>
      <c r="K221" s="42" t="s">
        <v>1858</v>
      </c>
      <c r="L221" s="26">
        <v>1016002153</v>
      </c>
      <c r="M221" s="43">
        <v>1032</v>
      </c>
      <c r="N221" s="44">
        <v>44974</v>
      </c>
      <c r="O221" s="45">
        <v>101250000</v>
      </c>
      <c r="P221" s="43" t="s">
        <v>569</v>
      </c>
      <c r="Q221" s="43" t="s">
        <v>569</v>
      </c>
      <c r="R221" s="43" t="s">
        <v>569</v>
      </c>
      <c r="S221" s="43" t="s">
        <v>569</v>
      </c>
      <c r="T221" s="43" t="s">
        <v>569</v>
      </c>
      <c r="U221" s="43" t="s">
        <v>569</v>
      </c>
      <c r="V221" s="43" t="s">
        <v>569</v>
      </c>
      <c r="W221" s="44" t="s">
        <v>569</v>
      </c>
      <c r="X221" s="43" t="s">
        <v>569</v>
      </c>
      <c r="Y221" s="43" t="s">
        <v>569</v>
      </c>
      <c r="Z221" s="48" t="s">
        <v>120</v>
      </c>
      <c r="AA221" s="49" t="s">
        <v>121</v>
      </c>
      <c r="AB221" s="49" t="s">
        <v>121</v>
      </c>
      <c r="AC221" s="26" t="s">
        <v>121</v>
      </c>
      <c r="AD221" s="49" t="s">
        <v>121</v>
      </c>
      <c r="AE221" s="49" t="s">
        <v>121</v>
      </c>
      <c r="AF221" s="49" t="s">
        <v>121</v>
      </c>
      <c r="AG221" s="45" t="s">
        <v>121</v>
      </c>
      <c r="AH221" s="49" t="s">
        <v>121</v>
      </c>
      <c r="AI221" s="48" t="s">
        <v>121</v>
      </c>
      <c r="AJ221" s="49" t="s">
        <v>121</v>
      </c>
      <c r="AK221" s="49" t="s">
        <v>121</v>
      </c>
      <c r="AL221" s="42" t="s">
        <v>121</v>
      </c>
      <c r="AM221" s="48" t="s">
        <v>121</v>
      </c>
      <c r="AN221" s="48" t="s">
        <v>121</v>
      </c>
      <c r="AO221" s="49" t="s">
        <v>121</v>
      </c>
      <c r="AP221" s="49" t="s">
        <v>121</v>
      </c>
      <c r="AQ221" s="49" t="s">
        <v>121</v>
      </c>
      <c r="AR221" s="49" t="s">
        <v>121</v>
      </c>
      <c r="AS221" s="49" t="s">
        <v>121</v>
      </c>
      <c r="AT221" s="49" t="s">
        <v>121</v>
      </c>
      <c r="AU221" s="49" t="s">
        <v>121</v>
      </c>
      <c r="AV221" s="49" t="s">
        <v>121</v>
      </c>
      <c r="AW221" s="41" t="s">
        <v>569</v>
      </c>
      <c r="AX221" s="41" t="s">
        <v>569</v>
      </c>
      <c r="AY221" s="54" t="s">
        <v>569</v>
      </c>
    </row>
    <row r="222" spans="2:51" s="37" customFormat="1" ht="17.25" customHeight="1" x14ac:dyDescent="0.25">
      <c r="B222" s="38">
        <v>221</v>
      </c>
      <c r="C222" s="39">
        <v>2023</v>
      </c>
      <c r="D222" s="40" t="s">
        <v>1859</v>
      </c>
      <c r="E222" s="41" t="s">
        <v>199</v>
      </c>
      <c r="F222" s="40" t="s">
        <v>97</v>
      </c>
      <c r="G222" s="40" t="s">
        <v>98</v>
      </c>
      <c r="H222" s="41" t="s">
        <v>1860</v>
      </c>
      <c r="I222" s="25" t="s">
        <v>569</v>
      </c>
      <c r="J222" s="42" t="s">
        <v>569</v>
      </c>
      <c r="K222" s="42" t="s">
        <v>1861</v>
      </c>
      <c r="L222" s="26">
        <v>65701543</v>
      </c>
      <c r="M222" s="43">
        <v>1034</v>
      </c>
      <c r="N222" s="44">
        <v>44974</v>
      </c>
      <c r="O222" s="45">
        <v>135000000</v>
      </c>
      <c r="P222" s="43" t="s">
        <v>569</v>
      </c>
      <c r="Q222" s="43" t="s">
        <v>569</v>
      </c>
      <c r="R222" s="43" t="s">
        <v>569</v>
      </c>
      <c r="S222" s="43" t="s">
        <v>569</v>
      </c>
      <c r="T222" s="43" t="s">
        <v>569</v>
      </c>
      <c r="U222" s="43" t="s">
        <v>569</v>
      </c>
      <c r="V222" s="43" t="s">
        <v>569</v>
      </c>
      <c r="W222" s="44" t="s">
        <v>569</v>
      </c>
      <c r="X222" s="43" t="s">
        <v>569</v>
      </c>
      <c r="Y222" s="43" t="s">
        <v>569</v>
      </c>
      <c r="Z222" s="48" t="s">
        <v>120</v>
      </c>
      <c r="AA222" s="49" t="s">
        <v>121</v>
      </c>
      <c r="AB222" s="49" t="s">
        <v>121</v>
      </c>
      <c r="AC222" s="26" t="s">
        <v>121</v>
      </c>
      <c r="AD222" s="49" t="s">
        <v>121</v>
      </c>
      <c r="AE222" s="49" t="s">
        <v>121</v>
      </c>
      <c r="AF222" s="49" t="s">
        <v>121</v>
      </c>
      <c r="AG222" s="45" t="s">
        <v>121</v>
      </c>
      <c r="AH222" s="49" t="s">
        <v>121</v>
      </c>
      <c r="AI222" s="48" t="s">
        <v>121</v>
      </c>
      <c r="AJ222" s="49" t="s">
        <v>121</v>
      </c>
      <c r="AK222" s="49" t="s">
        <v>121</v>
      </c>
      <c r="AL222" s="42" t="s">
        <v>121</v>
      </c>
      <c r="AM222" s="48" t="s">
        <v>121</v>
      </c>
      <c r="AN222" s="48" t="s">
        <v>121</v>
      </c>
      <c r="AO222" s="49" t="s">
        <v>121</v>
      </c>
      <c r="AP222" s="49" t="s">
        <v>121</v>
      </c>
      <c r="AQ222" s="49" t="s">
        <v>121</v>
      </c>
      <c r="AR222" s="49" t="s">
        <v>121</v>
      </c>
      <c r="AS222" s="49" t="s">
        <v>121</v>
      </c>
      <c r="AT222" s="49" t="s">
        <v>121</v>
      </c>
      <c r="AU222" s="49" t="s">
        <v>121</v>
      </c>
      <c r="AV222" s="49" t="s">
        <v>121</v>
      </c>
      <c r="AW222" s="41" t="s">
        <v>569</v>
      </c>
      <c r="AX222" s="41" t="s">
        <v>569</v>
      </c>
      <c r="AY222" s="54" t="s">
        <v>569</v>
      </c>
    </row>
    <row r="223" spans="2:51" s="37" customFormat="1" ht="26.25" x14ac:dyDescent="0.25">
      <c r="B223" s="38">
        <v>222</v>
      </c>
      <c r="C223" s="39">
        <v>2023</v>
      </c>
      <c r="D223" s="40" t="s">
        <v>1862</v>
      </c>
      <c r="E223" s="41" t="s">
        <v>155</v>
      </c>
      <c r="F223" s="40" t="s">
        <v>97</v>
      </c>
      <c r="G223" s="40" t="s">
        <v>98</v>
      </c>
      <c r="H223" s="41" t="s">
        <v>1863</v>
      </c>
      <c r="I223" s="25" t="s">
        <v>1864</v>
      </c>
      <c r="J223" s="42" t="s">
        <v>1551</v>
      </c>
      <c r="K223" s="42" t="s">
        <v>1865</v>
      </c>
      <c r="L223" s="26">
        <v>52485106</v>
      </c>
      <c r="M223" s="43" t="s">
        <v>1866</v>
      </c>
      <c r="N223" s="44" t="s">
        <v>1867</v>
      </c>
      <c r="O223" s="45">
        <f>20250000+4950000</f>
        <v>25200000</v>
      </c>
      <c r="P223" s="44">
        <v>45002</v>
      </c>
      <c r="Q223" s="43" t="s">
        <v>1868</v>
      </c>
      <c r="R223" s="46">
        <v>45007</v>
      </c>
      <c r="S223" s="45" t="s">
        <v>162</v>
      </c>
      <c r="T223" s="46">
        <v>45007</v>
      </c>
      <c r="U223" s="45">
        <v>20250000</v>
      </c>
      <c r="V223" s="43" t="s">
        <v>1869</v>
      </c>
      <c r="W223" s="44" t="s">
        <v>1870</v>
      </c>
      <c r="X223" s="47">
        <f>20250000+4950000</f>
        <v>25200000</v>
      </c>
      <c r="Y223" s="46">
        <v>45235</v>
      </c>
      <c r="Z223" s="48" t="s">
        <v>109</v>
      </c>
      <c r="AA223" s="49"/>
      <c r="AB223" s="48"/>
      <c r="AC223" s="26"/>
      <c r="AD223" s="48"/>
      <c r="AE223" s="49"/>
      <c r="AF223" s="49">
        <v>45233</v>
      </c>
      <c r="AG223" s="45">
        <v>4950000</v>
      </c>
      <c r="AH223" s="50">
        <f>U223+AG223</f>
        <v>25200000</v>
      </c>
      <c r="AI223" s="48" t="s">
        <v>1868</v>
      </c>
      <c r="AJ223" s="49">
        <v>45238</v>
      </c>
      <c r="AK223" s="49">
        <v>45233</v>
      </c>
      <c r="AL223" s="42" t="s">
        <v>1836</v>
      </c>
      <c r="AM223" s="48" t="s">
        <v>1868</v>
      </c>
      <c r="AN223" s="49">
        <v>45238</v>
      </c>
      <c r="AO223" s="38"/>
      <c r="AP223" s="38"/>
      <c r="AQ223" s="38"/>
      <c r="AR223" s="38"/>
      <c r="AS223" s="38"/>
      <c r="AT223" s="51"/>
      <c r="AU223" s="52"/>
      <c r="AV223" s="53">
        <v>45291</v>
      </c>
      <c r="AW223" s="41" t="s">
        <v>56</v>
      </c>
      <c r="AX223" s="40" t="s">
        <v>1257</v>
      </c>
      <c r="AY223" s="54">
        <v>20235920009173</v>
      </c>
    </row>
    <row r="224" spans="2:51" s="37" customFormat="1" ht="17.25" customHeight="1" x14ac:dyDescent="0.25">
      <c r="B224" s="38">
        <v>223</v>
      </c>
      <c r="C224" s="39">
        <v>2023</v>
      </c>
      <c r="D224" s="40" t="s">
        <v>1871</v>
      </c>
      <c r="E224" s="41" t="s">
        <v>128</v>
      </c>
      <c r="F224" s="40" t="s">
        <v>97</v>
      </c>
      <c r="G224" s="40" t="s">
        <v>98</v>
      </c>
      <c r="H224" s="41" t="s">
        <v>1872</v>
      </c>
      <c r="I224" s="25" t="s">
        <v>569</v>
      </c>
      <c r="J224" s="42" t="s">
        <v>569</v>
      </c>
      <c r="K224" s="42" t="s">
        <v>1873</v>
      </c>
      <c r="L224" s="26">
        <v>1000861289</v>
      </c>
      <c r="M224" s="43">
        <v>1038</v>
      </c>
      <c r="N224" s="44">
        <v>44974</v>
      </c>
      <c r="O224" s="45">
        <v>45000000</v>
      </c>
      <c r="P224" s="43" t="s">
        <v>569</v>
      </c>
      <c r="Q224" s="43" t="s">
        <v>569</v>
      </c>
      <c r="R224" s="43" t="s">
        <v>569</v>
      </c>
      <c r="S224" s="43" t="s">
        <v>569</v>
      </c>
      <c r="T224" s="43" t="s">
        <v>569</v>
      </c>
      <c r="U224" s="43" t="s">
        <v>569</v>
      </c>
      <c r="V224" s="43" t="s">
        <v>569</v>
      </c>
      <c r="W224" s="44" t="s">
        <v>569</v>
      </c>
      <c r="X224" s="43" t="s">
        <v>569</v>
      </c>
      <c r="Y224" s="43" t="s">
        <v>569</v>
      </c>
      <c r="Z224" s="48" t="s">
        <v>120</v>
      </c>
      <c r="AA224" s="49" t="s">
        <v>121</v>
      </c>
      <c r="AB224" s="49" t="s">
        <v>121</v>
      </c>
      <c r="AC224" s="26" t="s">
        <v>121</v>
      </c>
      <c r="AD224" s="49" t="s">
        <v>121</v>
      </c>
      <c r="AE224" s="49" t="s">
        <v>121</v>
      </c>
      <c r="AF224" s="49" t="s">
        <v>121</v>
      </c>
      <c r="AG224" s="45" t="s">
        <v>121</v>
      </c>
      <c r="AH224" s="49" t="s">
        <v>121</v>
      </c>
      <c r="AI224" s="48" t="s">
        <v>121</v>
      </c>
      <c r="AJ224" s="49" t="s">
        <v>121</v>
      </c>
      <c r="AK224" s="49" t="s">
        <v>121</v>
      </c>
      <c r="AL224" s="42" t="s">
        <v>121</v>
      </c>
      <c r="AM224" s="48" t="s">
        <v>121</v>
      </c>
      <c r="AN224" s="48" t="s">
        <v>121</v>
      </c>
      <c r="AO224" s="49" t="s">
        <v>121</v>
      </c>
      <c r="AP224" s="49" t="s">
        <v>121</v>
      </c>
      <c r="AQ224" s="49" t="s">
        <v>121</v>
      </c>
      <c r="AR224" s="49" t="s">
        <v>121</v>
      </c>
      <c r="AS224" s="49" t="s">
        <v>121</v>
      </c>
      <c r="AT224" s="49" t="s">
        <v>121</v>
      </c>
      <c r="AU224" s="49" t="s">
        <v>121</v>
      </c>
      <c r="AV224" s="49" t="s">
        <v>121</v>
      </c>
      <c r="AW224" s="41" t="s">
        <v>569</v>
      </c>
      <c r="AX224" s="41" t="s">
        <v>569</v>
      </c>
      <c r="AY224" s="54" t="s">
        <v>569</v>
      </c>
    </row>
    <row r="225" spans="2:51" s="37" customFormat="1" ht="17.25" customHeight="1" x14ac:dyDescent="0.25">
      <c r="B225" s="38">
        <v>224</v>
      </c>
      <c r="C225" s="39">
        <v>2023</v>
      </c>
      <c r="D225" s="40" t="s">
        <v>1874</v>
      </c>
      <c r="E225" s="41" t="s">
        <v>153</v>
      </c>
      <c r="F225" s="40" t="s">
        <v>97</v>
      </c>
      <c r="G225" s="40" t="s">
        <v>98</v>
      </c>
      <c r="H225" s="41" t="s">
        <v>1875</v>
      </c>
      <c r="I225" s="25" t="s">
        <v>1876</v>
      </c>
      <c r="J225" s="42" t="s">
        <v>1632</v>
      </c>
      <c r="K225" s="42" t="s">
        <v>1877</v>
      </c>
      <c r="L225" s="26">
        <v>1026298229</v>
      </c>
      <c r="M225" s="43" t="s">
        <v>1878</v>
      </c>
      <c r="N225" s="44" t="s">
        <v>1879</v>
      </c>
      <c r="O225" s="45">
        <f>81810000+4999500</f>
        <v>86809500</v>
      </c>
      <c r="P225" s="44">
        <v>45002</v>
      </c>
      <c r="Q225" s="43" t="s">
        <v>1880</v>
      </c>
      <c r="R225" s="46">
        <v>45006</v>
      </c>
      <c r="S225" s="45" t="s">
        <v>162</v>
      </c>
      <c r="T225" s="46">
        <v>45007</v>
      </c>
      <c r="U225" s="45">
        <v>20452500</v>
      </c>
      <c r="V225" s="43" t="s">
        <v>1881</v>
      </c>
      <c r="W225" s="44" t="s">
        <v>1882</v>
      </c>
      <c r="X225" s="47">
        <f>20452500+4999500</f>
        <v>25452000</v>
      </c>
      <c r="Y225" s="46">
        <v>45235</v>
      </c>
      <c r="Z225" s="48" t="s">
        <v>109</v>
      </c>
      <c r="AA225" s="49"/>
      <c r="AB225" s="48"/>
      <c r="AC225" s="26"/>
      <c r="AD225" s="48"/>
      <c r="AE225" s="49"/>
      <c r="AF225" s="49">
        <v>45233</v>
      </c>
      <c r="AG225" s="45">
        <v>499500</v>
      </c>
      <c r="AH225" s="50">
        <f>U225+AG225</f>
        <v>20952000</v>
      </c>
      <c r="AI225" s="48" t="s">
        <v>1880</v>
      </c>
      <c r="AJ225" s="49">
        <v>45240</v>
      </c>
      <c r="AK225" s="49">
        <v>45233</v>
      </c>
      <c r="AL225" s="42" t="s">
        <v>1836</v>
      </c>
      <c r="AM225" s="48" t="s">
        <v>1880</v>
      </c>
      <c r="AN225" s="49">
        <v>45240</v>
      </c>
      <c r="AO225" s="38"/>
      <c r="AP225" s="38"/>
      <c r="AQ225" s="38"/>
      <c r="AR225" s="38"/>
      <c r="AS225" s="38"/>
      <c r="AT225" s="51"/>
      <c r="AU225" s="52"/>
      <c r="AV225" s="53">
        <v>45291</v>
      </c>
      <c r="AW225" s="41" t="s">
        <v>56</v>
      </c>
      <c r="AX225" s="40" t="s">
        <v>493</v>
      </c>
      <c r="AY225" s="54">
        <v>20235920003883</v>
      </c>
    </row>
    <row r="226" spans="2:51" s="37" customFormat="1" ht="26.25" x14ac:dyDescent="0.25">
      <c r="B226" s="38">
        <v>225</v>
      </c>
      <c r="C226" s="39">
        <v>2023</v>
      </c>
      <c r="D226" s="40" t="s">
        <v>1883</v>
      </c>
      <c r="E226" s="41" t="s">
        <v>199</v>
      </c>
      <c r="F226" s="40" t="s">
        <v>97</v>
      </c>
      <c r="G226" s="40" t="s">
        <v>98</v>
      </c>
      <c r="H226" s="41" t="s">
        <v>1884</v>
      </c>
      <c r="I226" s="25" t="s">
        <v>1885</v>
      </c>
      <c r="J226" s="42" t="s">
        <v>1886</v>
      </c>
      <c r="K226" s="42" t="s">
        <v>1257</v>
      </c>
      <c r="L226" s="26">
        <v>1030597190</v>
      </c>
      <c r="M226" s="43" t="s">
        <v>1887</v>
      </c>
      <c r="N226" s="44" t="s">
        <v>1888</v>
      </c>
      <c r="O226" s="45">
        <f>33900000+7834667</f>
        <v>41734667</v>
      </c>
      <c r="P226" s="44">
        <v>45007</v>
      </c>
      <c r="Q226" s="43" t="s">
        <v>1889</v>
      </c>
      <c r="R226" s="46">
        <v>45008</v>
      </c>
      <c r="S226" s="45" t="s">
        <v>162</v>
      </c>
      <c r="T226" s="46">
        <v>45009</v>
      </c>
      <c r="U226" s="45">
        <v>33900000</v>
      </c>
      <c r="V226" s="43" t="s">
        <v>1890</v>
      </c>
      <c r="W226" s="44" t="s">
        <v>1891</v>
      </c>
      <c r="X226" s="47">
        <f>33900000+7834667</f>
        <v>41734667</v>
      </c>
      <c r="Y226" s="46">
        <v>45238</v>
      </c>
      <c r="Z226" s="48" t="s">
        <v>109</v>
      </c>
      <c r="AA226" s="49"/>
      <c r="AB226" s="48"/>
      <c r="AC226" s="26"/>
      <c r="AD226" s="48"/>
      <c r="AE226" s="49"/>
      <c r="AF226" s="49">
        <v>45238</v>
      </c>
      <c r="AG226" s="45"/>
      <c r="AH226" s="50">
        <f>U226+AG226</f>
        <v>33900000</v>
      </c>
      <c r="AI226" s="48" t="s">
        <v>708</v>
      </c>
      <c r="AJ226" s="48" t="s">
        <v>708</v>
      </c>
      <c r="AK226" s="49">
        <v>45238</v>
      </c>
      <c r="AL226" s="48" t="s">
        <v>1892</v>
      </c>
      <c r="AM226" s="48" t="s">
        <v>708</v>
      </c>
      <c r="AN226" s="48" t="s">
        <v>708</v>
      </c>
      <c r="AO226" s="38"/>
      <c r="AP226" s="38"/>
      <c r="AQ226" s="38"/>
      <c r="AR226" s="38"/>
      <c r="AS226" s="38"/>
      <c r="AT226" s="51"/>
      <c r="AU226" s="52"/>
      <c r="AV226" s="53">
        <v>45291</v>
      </c>
      <c r="AW226" s="41" t="s">
        <v>56</v>
      </c>
      <c r="AX226" s="40" t="s">
        <v>231</v>
      </c>
      <c r="AY226" s="54">
        <v>20235920009003</v>
      </c>
    </row>
    <row r="227" spans="2:51" s="37" customFormat="1" ht="26.25" x14ac:dyDescent="0.25">
      <c r="B227" s="38">
        <v>226</v>
      </c>
      <c r="C227" s="39">
        <v>2023</v>
      </c>
      <c r="D227" s="40" t="s">
        <v>1893</v>
      </c>
      <c r="E227" s="41" t="s">
        <v>324</v>
      </c>
      <c r="F227" s="40" t="s">
        <v>97</v>
      </c>
      <c r="G227" s="40" t="s">
        <v>98</v>
      </c>
      <c r="H227" s="41" t="s">
        <v>1894</v>
      </c>
      <c r="I227" s="25" t="s">
        <v>1895</v>
      </c>
      <c r="J227" s="42" t="s">
        <v>1896</v>
      </c>
      <c r="K227" s="42" t="s">
        <v>1897</v>
      </c>
      <c r="L227" s="26">
        <v>1030532647</v>
      </c>
      <c r="M227" s="43" t="s">
        <v>1898</v>
      </c>
      <c r="N227" s="44" t="s">
        <v>1888</v>
      </c>
      <c r="O227" s="45">
        <f>26250000+6066667</f>
        <v>32316667</v>
      </c>
      <c r="P227" s="44">
        <v>45002</v>
      </c>
      <c r="Q227" s="43" t="s">
        <v>1899</v>
      </c>
      <c r="R227" s="46">
        <v>45007</v>
      </c>
      <c r="S227" s="45" t="s">
        <v>162</v>
      </c>
      <c r="T227" s="46">
        <v>45009</v>
      </c>
      <c r="U227" s="45">
        <v>26250000</v>
      </c>
      <c r="V227" s="43" t="s">
        <v>1900</v>
      </c>
      <c r="W227" s="44" t="s">
        <v>1901</v>
      </c>
      <c r="X227" s="47">
        <f>26250000+6066667</f>
        <v>32316667</v>
      </c>
      <c r="Y227" s="46">
        <v>45238</v>
      </c>
      <c r="Z227" s="48" t="s">
        <v>109</v>
      </c>
      <c r="AA227" s="49">
        <v>45097</v>
      </c>
      <c r="AB227" s="48" t="s">
        <v>1902</v>
      </c>
      <c r="AC227" s="26">
        <v>1090371439</v>
      </c>
      <c r="AD227" s="48" t="s">
        <v>1903</v>
      </c>
      <c r="AE227" s="49">
        <v>45126</v>
      </c>
      <c r="AF227" s="49">
        <v>45238</v>
      </c>
      <c r="AG227" s="45">
        <v>6066667</v>
      </c>
      <c r="AH227" s="50">
        <f>U227+AG227</f>
        <v>32316667</v>
      </c>
      <c r="AI227" s="48" t="s">
        <v>1903</v>
      </c>
      <c r="AJ227" s="49">
        <v>45240</v>
      </c>
      <c r="AK227" s="49">
        <v>45238</v>
      </c>
      <c r="AL227" s="48" t="s">
        <v>1892</v>
      </c>
      <c r="AM227" s="48" t="s">
        <v>1903</v>
      </c>
      <c r="AN227" s="49">
        <v>45240</v>
      </c>
      <c r="AO227" s="38"/>
      <c r="AP227" s="38"/>
      <c r="AQ227" s="38"/>
      <c r="AR227" s="38"/>
      <c r="AS227" s="38"/>
      <c r="AT227" s="51"/>
      <c r="AU227" s="52"/>
      <c r="AV227" s="53">
        <v>45291</v>
      </c>
      <c r="AW227" s="41" t="s">
        <v>137</v>
      </c>
      <c r="AX227" s="40" t="s">
        <v>271</v>
      </c>
      <c r="AY227" s="54">
        <v>20235920003933</v>
      </c>
    </row>
    <row r="228" spans="2:51" s="37" customFormat="1" ht="26.25" x14ac:dyDescent="0.25">
      <c r="B228" s="38">
        <v>227</v>
      </c>
      <c r="C228" s="39">
        <v>2023</v>
      </c>
      <c r="D228" s="40" t="s">
        <v>1904</v>
      </c>
      <c r="E228" s="41" t="s">
        <v>199</v>
      </c>
      <c r="F228" s="40" t="s">
        <v>97</v>
      </c>
      <c r="G228" s="40" t="s">
        <v>98</v>
      </c>
      <c r="H228" s="41" t="s">
        <v>1905</v>
      </c>
      <c r="I228" s="25" t="s">
        <v>1906</v>
      </c>
      <c r="J228" s="42" t="s">
        <v>1347</v>
      </c>
      <c r="K228" s="42" t="s">
        <v>1907</v>
      </c>
      <c r="L228" s="26">
        <v>1033779278</v>
      </c>
      <c r="M228" s="43" t="s">
        <v>1908</v>
      </c>
      <c r="N228" s="44" t="s">
        <v>1909</v>
      </c>
      <c r="O228" s="45">
        <f>168750000+4583333</f>
        <v>173333333</v>
      </c>
      <c r="P228" s="44">
        <v>45002</v>
      </c>
      <c r="Q228" s="43" t="s">
        <v>1910</v>
      </c>
      <c r="R228" s="46">
        <v>45007</v>
      </c>
      <c r="S228" s="45" t="s">
        <v>162</v>
      </c>
      <c r="T228" s="46">
        <v>45006</v>
      </c>
      <c r="U228" s="45">
        <v>18750000</v>
      </c>
      <c r="V228" s="43" t="s">
        <v>1911</v>
      </c>
      <c r="W228" s="44" t="s">
        <v>1825</v>
      </c>
      <c r="X228" s="47">
        <f>18750000+4583333</f>
        <v>23333333</v>
      </c>
      <c r="Y228" s="46">
        <v>45235</v>
      </c>
      <c r="Z228" s="48" t="s">
        <v>109</v>
      </c>
      <c r="AA228" s="49"/>
      <c r="AB228" s="48"/>
      <c r="AC228" s="26"/>
      <c r="AD228" s="48"/>
      <c r="AE228" s="49"/>
      <c r="AF228" s="49">
        <v>45233</v>
      </c>
      <c r="AG228" s="45">
        <v>4583333</v>
      </c>
      <c r="AH228" s="50">
        <f>U228+AG228</f>
        <v>23333333</v>
      </c>
      <c r="AI228" s="48" t="s">
        <v>708</v>
      </c>
      <c r="AJ228" s="48" t="s">
        <v>708</v>
      </c>
      <c r="AK228" s="49">
        <v>45233</v>
      </c>
      <c r="AL228" s="48" t="s">
        <v>1836</v>
      </c>
      <c r="AM228" s="48" t="s">
        <v>708</v>
      </c>
      <c r="AN228" s="48" t="s">
        <v>708</v>
      </c>
      <c r="AO228" s="38"/>
      <c r="AP228" s="38"/>
      <c r="AQ228" s="38"/>
      <c r="AR228" s="38"/>
      <c r="AS228" s="38"/>
      <c r="AT228" s="51"/>
      <c r="AU228" s="52"/>
      <c r="AV228" s="53">
        <v>45291</v>
      </c>
      <c r="AW228" s="41" t="s">
        <v>56</v>
      </c>
      <c r="AX228" s="40" t="s">
        <v>845</v>
      </c>
      <c r="AY228" s="54">
        <v>20235920003743</v>
      </c>
    </row>
    <row r="229" spans="2:51" s="37" customFormat="1" ht="26.25" x14ac:dyDescent="0.25">
      <c r="B229" s="38">
        <v>228</v>
      </c>
      <c r="C229" s="39">
        <v>2023</v>
      </c>
      <c r="D229" s="40" t="s">
        <v>1912</v>
      </c>
      <c r="E229" s="41" t="s">
        <v>199</v>
      </c>
      <c r="F229" s="40" t="s">
        <v>97</v>
      </c>
      <c r="G229" s="40" t="s">
        <v>98</v>
      </c>
      <c r="H229" s="41" t="s">
        <v>1913</v>
      </c>
      <c r="I229" s="25" t="s">
        <v>1914</v>
      </c>
      <c r="J229" s="42" t="s">
        <v>1347</v>
      </c>
      <c r="K229" s="42" t="s">
        <v>1915</v>
      </c>
      <c r="L229" s="26">
        <v>4136179</v>
      </c>
      <c r="M229" s="43" t="s">
        <v>1916</v>
      </c>
      <c r="N229" s="44" t="s">
        <v>1909</v>
      </c>
      <c r="O229" s="45">
        <f>168750000+4500000</f>
        <v>173250000</v>
      </c>
      <c r="P229" s="44">
        <v>45002</v>
      </c>
      <c r="Q229" s="43" t="s">
        <v>1917</v>
      </c>
      <c r="R229" s="46">
        <v>45007</v>
      </c>
      <c r="S229" s="45" t="s">
        <v>162</v>
      </c>
      <c r="T229" s="46">
        <v>45007</v>
      </c>
      <c r="U229" s="45">
        <v>18750000</v>
      </c>
      <c r="V229" s="43" t="s">
        <v>1918</v>
      </c>
      <c r="W229" s="44" t="s">
        <v>1825</v>
      </c>
      <c r="X229" s="47">
        <f>18750000+4500000</f>
        <v>23250000</v>
      </c>
      <c r="Y229" s="46">
        <v>45236</v>
      </c>
      <c r="Z229" s="48" t="s">
        <v>109</v>
      </c>
      <c r="AA229" s="49"/>
      <c r="AB229" s="48"/>
      <c r="AC229" s="26"/>
      <c r="AD229" s="48"/>
      <c r="AE229" s="49"/>
      <c r="AF229" s="49">
        <v>45233</v>
      </c>
      <c r="AG229" s="45">
        <v>4500000</v>
      </c>
      <c r="AH229" s="50">
        <f>U229+AG229</f>
        <v>23250000</v>
      </c>
      <c r="AI229" s="43" t="s">
        <v>1917</v>
      </c>
      <c r="AJ229" s="49">
        <v>45238</v>
      </c>
      <c r="AK229" s="49">
        <v>45233</v>
      </c>
      <c r="AL229" s="42" t="s">
        <v>1828</v>
      </c>
      <c r="AM229" s="43" t="s">
        <v>1917</v>
      </c>
      <c r="AN229" s="49">
        <v>45238</v>
      </c>
      <c r="AO229" s="38"/>
      <c r="AP229" s="38"/>
      <c r="AQ229" s="38"/>
      <c r="AR229" s="38"/>
      <c r="AS229" s="38"/>
      <c r="AT229" s="51"/>
      <c r="AU229" s="52"/>
      <c r="AV229" s="53">
        <v>45291</v>
      </c>
      <c r="AW229" s="41" t="s">
        <v>56</v>
      </c>
      <c r="AX229" s="40" t="s">
        <v>845</v>
      </c>
      <c r="AY229" s="54">
        <v>20235920003743</v>
      </c>
    </row>
    <row r="230" spans="2:51" s="37" customFormat="1" ht="26.25" x14ac:dyDescent="0.25">
      <c r="B230" s="38">
        <v>229</v>
      </c>
      <c r="C230" s="39">
        <v>2023</v>
      </c>
      <c r="D230" s="40" t="s">
        <v>1919</v>
      </c>
      <c r="E230" s="41" t="s">
        <v>155</v>
      </c>
      <c r="F230" s="40" t="s">
        <v>97</v>
      </c>
      <c r="G230" s="40" t="s">
        <v>98</v>
      </c>
      <c r="H230" s="41" t="s">
        <v>1920</v>
      </c>
      <c r="I230" s="25" t="s">
        <v>1921</v>
      </c>
      <c r="J230" s="42" t="s">
        <v>1922</v>
      </c>
      <c r="K230" s="42" t="s">
        <v>1923</v>
      </c>
      <c r="L230" s="26">
        <v>3104272</v>
      </c>
      <c r="M230" s="43" t="s">
        <v>1924</v>
      </c>
      <c r="N230" s="44" t="s">
        <v>1909</v>
      </c>
      <c r="O230" s="45">
        <f>54000000+6480000</f>
        <v>60480000</v>
      </c>
      <c r="P230" s="44">
        <v>45002</v>
      </c>
      <c r="Q230" s="43" t="s">
        <v>1925</v>
      </c>
      <c r="R230" s="46">
        <v>45007</v>
      </c>
      <c r="S230" s="45" t="s">
        <v>162</v>
      </c>
      <c r="T230" s="46">
        <v>45007</v>
      </c>
      <c r="U230" s="45">
        <v>27000000</v>
      </c>
      <c r="V230" s="43" t="s">
        <v>1926</v>
      </c>
      <c r="W230" s="44" t="s">
        <v>1825</v>
      </c>
      <c r="X230" s="47">
        <f>27000000+6480000</f>
        <v>33480000</v>
      </c>
      <c r="Y230" s="46">
        <v>45236</v>
      </c>
      <c r="Z230" s="48" t="s">
        <v>109</v>
      </c>
      <c r="AA230" s="49"/>
      <c r="AB230" s="48"/>
      <c r="AC230" s="26"/>
      <c r="AD230" s="48"/>
      <c r="AE230" s="49"/>
      <c r="AF230" s="49">
        <v>45233</v>
      </c>
      <c r="AG230" s="45">
        <v>6480000</v>
      </c>
      <c r="AH230" s="50">
        <f>U230+AG230</f>
        <v>33480000</v>
      </c>
      <c r="AI230" s="48" t="s">
        <v>708</v>
      </c>
      <c r="AJ230" s="48" t="s">
        <v>708</v>
      </c>
      <c r="AK230" s="49">
        <v>45233</v>
      </c>
      <c r="AL230" s="42" t="s">
        <v>1828</v>
      </c>
      <c r="AM230" s="48" t="s">
        <v>708</v>
      </c>
      <c r="AN230" s="48" t="s">
        <v>708</v>
      </c>
      <c r="AO230" s="38"/>
      <c r="AP230" s="38"/>
      <c r="AQ230" s="38"/>
      <c r="AR230" s="38"/>
      <c r="AS230" s="38"/>
      <c r="AT230" s="51"/>
      <c r="AU230" s="52"/>
      <c r="AV230" s="53">
        <v>45289</v>
      </c>
      <c r="AW230" s="41" t="s">
        <v>56</v>
      </c>
      <c r="AX230" s="40" t="s">
        <v>845</v>
      </c>
      <c r="AY230" s="54">
        <v>20235920003663</v>
      </c>
    </row>
    <row r="231" spans="2:51" s="37" customFormat="1" ht="26.25" x14ac:dyDescent="0.25">
      <c r="B231" s="38">
        <v>230</v>
      </c>
      <c r="C231" s="39">
        <v>2023</v>
      </c>
      <c r="D231" s="40" t="s">
        <v>1927</v>
      </c>
      <c r="E231" s="41" t="s">
        <v>518</v>
      </c>
      <c r="F231" s="40" t="s">
        <v>97</v>
      </c>
      <c r="G231" s="40" t="s">
        <v>98</v>
      </c>
      <c r="H231" s="41" t="s">
        <v>1928</v>
      </c>
      <c r="I231" s="25" t="s">
        <v>1929</v>
      </c>
      <c r="J231" s="42" t="s">
        <v>563</v>
      </c>
      <c r="K231" s="42" t="s">
        <v>1930</v>
      </c>
      <c r="L231" s="26">
        <v>52159477</v>
      </c>
      <c r="M231" s="43" t="s">
        <v>1931</v>
      </c>
      <c r="N231" s="44" t="s">
        <v>1888</v>
      </c>
      <c r="O231" s="45">
        <f>38790000+9482000</f>
        <v>48272000</v>
      </c>
      <c r="P231" s="44">
        <v>45002</v>
      </c>
      <c r="Q231" s="43" t="s">
        <v>1932</v>
      </c>
      <c r="R231" s="46">
        <v>45007</v>
      </c>
      <c r="S231" s="45" t="s">
        <v>162</v>
      </c>
      <c r="T231" s="46">
        <v>45007</v>
      </c>
      <c r="U231" s="45">
        <v>38790000</v>
      </c>
      <c r="V231" s="43" t="s">
        <v>1933</v>
      </c>
      <c r="W231" s="44" t="s">
        <v>1825</v>
      </c>
      <c r="X231" s="47">
        <f>38790000+9482000</f>
        <v>48272000</v>
      </c>
      <c r="Y231" s="46">
        <v>45235</v>
      </c>
      <c r="Z231" s="48" t="s">
        <v>109</v>
      </c>
      <c r="AA231" s="49"/>
      <c r="AB231" s="48"/>
      <c r="AC231" s="26"/>
      <c r="AD231" s="48"/>
      <c r="AE231" s="49"/>
      <c r="AF231" s="49">
        <v>45233</v>
      </c>
      <c r="AG231" s="45">
        <v>9482000</v>
      </c>
      <c r="AH231" s="50">
        <f>U231+AG231</f>
        <v>48272000</v>
      </c>
      <c r="AI231" s="48" t="s">
        <v>1932</v>
      </c>
      <c r="AJ231" s="49">
        <v>45239</v>
      </c>
      <c r="AK231" s="49">
        <v>45233</v>
      </c>
      <c r="AL231" s="42" t="s">
        <v>1836</v>
      </c>
      <c r="AM231" s="48" t="s">
        <v>1932</v>
      </c>
      <c r="AN231" s="49">
        <v>45239</v>
      </c>
      <c r="AO231" s="38"/>
      <c r="AP231" s="38"/>
      <c r="AQ231" s="38"/>
      <c r="AR231" s="38"/>
      <c r="AS231" s="38"/>
      <c r="AT231" s="51"/>
      <c r="AU231" s="52"/>
      <c r="AV231" s="53">
        <v>45291</v>
      </c>
      <c r="AW231" s="41" t="s">
        <v>56</v>
      </c>
      <c r="AX231" s="40" t="s">
        <v>566</v>
      </c>
      <c r="AY231" s="54">
        <v>20235920003713</v>
      </c>
    </row>
    <row r="232" spans="2:51" s="37" customFormat="1" ht="26.25" x14ac:dyDescent="0.25">
      <c r="B232" s="38">
        <v>231</v>
      </c>
      <c r="C232" s="39">
        <v>2023</v>
      </c>
      <c r="D232" s="40" t="s">
        <v>1934</v>
      </c>
      <c r="E232" s="41" t="s">
        <v>96</v>
      </c>
      <c r="F232" s="40" t="s">
        <v>97</v>
      </c>
      <c r="G232" s="40" t="s">
        <v>98</v>
      </c>
      <c r="H232" s="41" t="s">
        <v>1935</v>
      </c>
      <c r="I232" s="25" t="s">
        <v>1936</v>
      </c>
      <c r="J232" s="42" t="s">
        <v>1937</v>
      </c>
      <c r="K232" s="42" t="s">
        <v>1938</v>
      </c>
      <c r="L232" s="26">
        <v>1102813340</v>
      </c>
      <c r="M232" s="43" t="s">
        <v>1939</v>
      </c>
      <c r="N232" s="44" t="s">
        <v>1888</v>
      </c>
      <c r="O232" s="45">
        <f>41250000+9716667</f>
        <v>50966667</v>
      </c>
      <c r="P232" s="44">
        <v>45002</v>
      </c>
      <c r="Q232" s="43" t="s">
        <v>1940</v>
      </c>
      <c r="R232" s="46">
        <v>45007</v>
      </c>
      <c r="S232" s="45" t="s">
        <v>162</v>
      </c>
      <c r="T232" s="46">
        <v>45008</v>
      </c>
      <c r="U232" s="45">
        <v>41250000</v>
      </c>
      <c r="V232" s="43" t="s">
        <v>1941</v>
      </c>
      <c r="W232" s="44" t="s">
        <v>1942</v>
      </c>
      <c r="X232" s="47">
        <f>41250000+9716667</f>
        <v>50966667</v>
      </c>
      <c r="Y232" s="46">
        <v>45237</v>
      </c>
      <c r="Z232" s="48" t="s">
        <v>109</v>
      </c>
      <c r="AA232" s="49"/>
      <c r="AB232" s="48"/>
      <c r="AC232" s="26"/>
      <c r="AD232" s="48"/>
      <c r="AE232" s="49"/>
      <c r="AF232" s="49">
        <v>45237</v>
      </c>
      <c r="AG232" s="45">
        <v>9716667</v>
      </c>
      <c r="AH232" s="50">
        <f>U232+AG232</f>
        <v>50966667</v>
      </c>
      <c r="AI232" s="48" t="s">
        <v>1940</v>
      </c>
      <c r="AJ232" s="49">
        <v>45240</v>
      </c>
      <c r="AK232" s="49">
        <v>45237</v>
      </c>
      <c r="AL232" s="42" t="s">
        <v>1943</v>
      </c>
      <c r="AM232" s="48" t="s">
        <v>1940</v>
      </c>
      <c r="AN232" s="49">
        <v>45240</v>
      </c>
      <c r="AO232" s="38"/>
      <c r="AP232" s="38"/>
      <c r="AQ232" s="38"/>
      <c r="AR232" s="38"/>
      <c r="AS232" s="38"/>
      <c r="AT232" s="51"/>
      <c r="AU232" s="52"/>
      <c r="AV232" s="53">
        <v>45291</v>
      </c>
      <c r="AW232" s="41" t="s">
        <v>56</v>
      </c>
      <c r="AX232" s="40" t="s">
        <v>529</v>
      </c>
      <c r="AY232" s="54">
        <v>20235920004953</v>
      </c>
    </row>
    <row r="233" spans="2:51" s="37" customFormat="1" ht="26.25" x14ac:dyDescent="0.25">
      <c r="B233" s="38">
        <v>232</v>
      </c>
      <c r="C233" s="39">
        <v>2023</v>
      </c>
      <c r="D233" s="40" t="s">
        <v>1944</v>
      </c>
      <c r="E233" s="41" t="s">
        <v>199</v>
      </c>
      <c r="F233" s="40" t="s">
        <v>97</v>
      </c>
      <c r="G233" s="40" t="s">
        <v>98</v>
      </c>
      <c r="H233" s="41" t="s">
        <v>1945</v>
      </c>
      <c r="I233" s="25" t="s">
        <v>1946</v>
      </c>
      <c r="J233" s="42" t="s">
        <v>1347</v>
      </c>
      <c r="K233" s="42" t="s">
        <v>1947</v>
      </c>
      <c r="L233" s="26">
        <v>79116321</v>
      </c>
      <c r="M233" s="43" t="s">
        <v>1948</v>
      </c>
      <c r="N233" s="44" t="s">
        <v>1909</v>
      </c>
      <c r="O233" s="45">
        <f>168750000+4500000</f>
        <v>173250000</v>
      </c>
      <c r="P233" s="44">
        <v>45002</v>
      </c>
      <c r="Q233" s="43" t="s">
        <v>1949</v>
      </c>
      <c r="R233" s="46">
        <v>45007</v>
      </c>
      <c r="S233" s="45" t="s">
        <v>162</v>
      </c>
      <c r="T233" s="46">
        <v>45007</v>
      </c>
      <c r="U233" s="45">
        <v>18750000</v>
      </c>
      <c r="V233" s="43" t="s">
        <v>1950</v>
      </c>
      <c r="W233" s="44" t="s">
        <v>1825</v>
      </c>
      <c r="X233" s="47">
        <f>18750000+4500000</f>
        <v>23250000</v>
      </c>
      <c r="Y233" s="46">
        <v>45236</v>
      </c>
      <c r="Z233" s="48" t="s">
        <v>109</v>
      </c>
      <c r="AA233" s="49"/>
      <c r="AB233" s="48"/>
      <c r="AC233" s="26"/>
      <c r="AD233" s="48"/>
      <c r="AE233" s="49"/>
      <c r="AF233" s="49">
        <v>45233</v>
      </c>
      <c r="AG233" s="45">
        <v>4500000</v>
      </c>
      <c r="AH233" s="50">
        <f>U233+AG233</f>
        <v>23250000</v>
      </c>
      <c r="AI233" s="48" t="s">
        <v>1949</v>
      </c>
      <c r="AJ233" s="49">
        <v>45239</v>
      </c>
      <c r="AK233" s="49">
        <v>45233</v>
      </c>
      <c r="AL233" s="42" t="s">
        <v>1828</v>
      </c>
      <c r="AM233" s="48" t="s">
        <v>1949</v>
      </c>
      <c r="AN233" s="49">
        <v>45239</v>
      </c>
      <c r="AO233" s="38"/>
      <c r="AP233" s="38"/>
      <c r="AQ233" s="38"/>
      <c r="AR233" s="38"/>
      <c r="AS233" s="38"/>
      <c r="AT233" s="51"/>
      <c r="AU233" s="52"/>
      <c r="AV233" s="53">
        <v>45291</v>
      </c>
      <c r="AW233" s="41" t="s">
        <v>56</v>
      </c>
      <c r="AX233" s="40" t="s">
        <v>845</v>
      </c>
      <c r="AY233" s="54">
        <v>20235920003743</v>
      </c>
    </row>
    <row r="234" spans="2:51" s="37" customFormat="1" ht="26.25" x14ac:dyDescent="0.25">
      <c r="B234" s="38">
        <v>233</v>
      </c>
      <c r="C234" s="39">
        <v>2023</v>
      </c>
      <c r="D234" s="40" t="s">
        <v>1951</v>
      </c>
      <c r="E234" s="41" t="s">
        <v>199</v>
      </c>
      <c r="F234" s="40" t="s">
        <v>97</v>
      </c>
      <c r="G234" s="40" t="s">
        <v>98</v>
      </c>
      <c r="H234" s="41" t="s">
        <v>1952</v>
      </c>
      <c r="I234" s="25" t="s">
        <v>1953</v>
      </c>
      <c r="J234" s="42" t="s">
        <v>1347</v>
      </c>
      <c r="K234" s="42" t="s">
        <v>1954</v>
      </c>
      <c r="L234" s="26">
        <v>3201826</v>
      </c>
      <c r="M234" s="43" t="s">
        <v>1955</v>
      </c>
      <c r="N234" s="44" t="s">
        <v>1909</v>
      </c>
      <c r="O234" s="45">
        <f>168750000+4583333</f>
        <v>173333333</v>
      </c>
      <c r="P234" s="44">
        <v>45002</v>
      </c>
      <c r="Q234" s="43" t="s">
        <v>1956</v>
      </c>
      <c r="R234" s="46">
        <v>45007</v>
      </c>
      <c r="S234" s="45" t="s">
        <v>162</v>
      </c>
      <c r="T234" s="46">
        <v>45007</v>
      </c>
      <c r="U234" s="45">
        <v>18750000</v>
      </c>
      <c r="V234" s="43" t="s">
        <v>1957</v>
      </c>
      <c r="W234" s="44" t="s">
        <v>1825</v>
      </c>
      <c r="X234" s="47">
        <f>18750000+4583333</f>
        <v>23333333</v>
      </c>
      <c r="Y234" s="46">
        <v>45235</v>
      </c>
      <c r="Z234" s="48" t="s">
        <v>109</v>
      </c>
      <c r="AA234" s="49"/>
      <c r="AB234" s="48"/>
      <c r="AC234" s="26"/>
      <c r="AD234" s="48"/>
      <c r="AE234" s="49"/>
      <c r="AF234" s="49">
        <v>45233</v>
      </c>
      <c r="AG234" s="45">
        <v>4583333</v>
      </c>
      <c r="AH234" s="50">
        <f>U234+AG234</f>
        <v>23333333</v>
      </c>
      <c r="AI234" s="48" t="s">
        <v>1956</v>
      </c>
      <c r="AJ234" s="49">
        <v>45239</v>
      </c>
      <c r="AK234" s="49">
        <v>45233</v>
      </c>
      <c r="AL234" s="42" t="s">
        <v>1836</v>
      </c>
      <c r="AM234" s="48" t="s">
        <v>1956</v>
      </c>
      <c r="AN234" s="49">
        <v>45239</v>
      </c>
      <c r="AO234" s="38"/>
      <c r="AP234" s="38"/>
      <c r="AQ234" s="38"/>
      <c r="AR234" s="38"/>
      <c r="AS234" s="38"/>
      <c r="AT234" s="51"/>
      <c r="AU234" s="52"/>
      <c r="AV234" s="53">
        <v>45291</v>
      </c>
      <c r="AW234" s="41" t="s">
        <v>56</v>
      </c>
      <c r="AX234" s="40" t="s">
        <v>845</v>
      </c>
      <c r="AY234" s="54">
        <v>20235920003743</v>
      </c>
    </row>
    <row r="235" spans="2:51" s="37" customFormat="1" ht="26.25" x14ac:dyDescent="0.25">
      <c r="B235" s="38">
        <v>234</v>
      </c>
      <c r="C235" s="39">
        <v>2023</v>
      </c>
      <c r="D235" s="40" t="s">
        <v>1958</v>
      </c>
      <c r="E235" s="41" t="s">
        <v>199</v>
      </c>
      <c r="F235" s="40" t="s">
        <v>97</v>
      </c>
      <c r="G235" s="40" t="s">
        <v>98</v>
      </c>
      <c r="H235" s="41" t="s">
        <v>1959</v>
      </c>
      <c r="I235" s="25" t="s">
        <v>1960</v>
      </c>
      <c r="J235" s="42" t="s">
        <v>1780</v>
      </c>
      <c r="K235" s="42" t="s">
        <v>1961</v>
      </c>
      <c r="L235" s="26">
        <v>1016009853</v>
      </c>
      <c r="M235" s="43" t="s">
        <v>1962</v>
      </c>
      <c r="N235" s="44" t="s">
        <v>1963</v>
      </c>
      <c r="O235" s="45">
        <f>56250000+4000000</f>
        <v>60250000</v>
      </c>
      <c r="P235" s="44">
        <v>45008</v>
      </c>
      <c r="Q235" s="43" t="s">
        <v>1964</v>
      </c>
      <c r="R235" s="46">
        <v>45013</v>
      </c>
      <c r="S235" s="45" t="s">
        <v>162</v>
      </c>
      <c r="T235" s="46">
        <v>45013</v>
      </c>
      <c r="U235" s="45">
        <v>18750000</v>
      </c>
      <c r="V235" s="43" t="s">
        <v>1965</v>
      </c>
      <c r="W235" s="44" t="s">
        <v>1966</v>
      </c>
      <c r="X235" s="47">
        <f>18750000+4000000</f>
        <v>22750000</v>
      </c>
      <c r="Y235" s="46">
        <v>45242</v>
      </c>
      <c r="Z235" s="48" t="s">
        <v>109</v>
      </c>
      <c r="AA235" s="49">
        <v>45135</v>
      </c>
      <c r="AB235" s="48" t="s">
        <v>1967</v>
      </c>
      <c r="AC235" s="26">
        <v>1030677801</v>
      </c>
      <c r="AD235" s="48" t="s">
        <v>1968</v>
      </c>
      <c r="AE235" s="49">
        <v>45140</v>
      </c>
      <c r="AF235" s="49">
        <v>45238</v>
      </c>
      <c r="AG235" s="45">
        <v>4000000</v>
      </c>
      <c r="AH235" s="50">
        <f>U235+AG235</f>
        <v>22750000</v>
      </c>
      <c r="AI235" s="48" t="s">
        <v>708</v>
      </c>
      <c r="AJ235" s="49" t="s">
        <v>708</v>
      </c>
      <c r="AK235" s="49">
        <v>45238</v>
      </c>
      <c r="AL235" s="42" t="s">
        <v>1969</v>
      </c>
      <c r="AM235" s="48" t="s">
        <v>708</v>
      </c>
      <c r="AN235" s="48" t="s">
        <v>708</v>
      </c>
      <c r="AO235" s="38"/>
      <c r="AP235" s="38"/>
      <c r="AQ235" s="38"/>
      <c r="AR235" s="38"/>
      <c r="AS235" s="38"/>
      <c r="AT235" s="51"/>
      <c r="AU235" s="52"/>
      <c r="AV235" s="53">
        <v>45291</v>
      </c>
      <c r="AW235" s="41" t="s">
        <v>137</v>
      </c>
      <c r="AX235" s="40" t="s">
        <v>271</v>
      </c>
      <c r="AY235" s="54">
        <v>20235920004023</v>
      </c>
    </row>
    <row r="236" spans="2:51" s="37" customFormat="1" ht="26.25" x14ac:dyDescent="0.25">
      <c r="B236" s="38">
        <v>235</v>
      </c>
      <c r="C236" s="39">
        <v>2023</v>
      </c>
      <c r="D236" s="40" t="s">
        <v>1970</v>
      </c>
      <c r="E236" s="41" t="s">
        <v>96</v>
      </c>
      <c r="F236" s="40" t="s">
        <v>97</v>
      </c>
      <c r="G236" s="40" t="s">
        <v>98</v>
      </c>
      <c r="H236" s="41" t="s">
        <v>1971</v>
      </c>
      <c r="I236" s="25" t="s">
        <v>1972</v>
      </c>
      <c r="J236" s="42" t="s">
        <v>874</v>
      </c>
      <c r="K236" s="42" t="s">
        <v>1973</v>
      </c>
      <c r="L236" s="26">
        <v>80256909</v>
      </c>
      <c r="M236" s="43" t="s">
        <v>1974</v>
      </c>
      <c r="N236" s="44" t="s">
        <v>1975</v>
      </c>
      <c r="O236" s="45">
        <f>54000000+6240000</f>
        <v>60240000</v>
      </c>
      <c r="P236" s="44">
        <v>45008</v>
      </c>
      <c r="Q236" s="43" t="s">
        <v>1976</v>
      </c>
      <c r="R236" s="46">
        <v>45008</v>
      </c>
      <c r="S236" s="45" t="s">
        <v>162</v>
      </c>
      <c r="T236" s="46">
        <v>45009</v>
      </c>
      <c r="U236" s="45">
        <v>27000000</v>
      </c>
      <c r="V236" s="43" t="s">
        <v>1977</v>
      </c>
      <c r="W236" s="44" t="s">
        <v>1978</v>
      </c>
      <c r="X236" s="47">
        <f>27000000+6240000</f>
        <v>33240000</v>
      </c>
      <c r="Y236" s="46">
        <v>45238</v>
      </c>
      <c r="Z236" s="48" t="s">
        <v>109</v>
      </c>
      <c r="AA236" s="49"/>
      <c r="AB236" s="48"/>
      <c r="AC236" s="26"/>
      <c r="AD236" s="48"/>
      <c r="AE236" s="49"/>
      <c r="AF236" s="49">
        <v>45238</v>
      </c>
      <c r="AG236" s="45">
        <v>6240000</v>
      </c>
      <c r="AH236" s="50">
        <f>U236+AG236</f>
        <v>33240000</v>
      </c>
      <c r="AI236" s="48" t="s">
        <v>1976</v>
      </c>
      <c r="AJ236" s="49">
        <v>45239</v>
      </c>
      <c r="AK236" s="49">
        <v>45238</v>
      </c>
      <c r="AL236" s="42" t="s">
        <v>1892</v>
      </c>
      <c r="AM236" s="48" t="s">
        <v>1976</v>
      </c>
      <c r="AN236" s="49">
        <v>45239</v>
      </c>
      <c r="AO236" s="38"/>
      <c r="AP236" s="38"/>
      <c r="AQ236" s="38"/>
      <c r="AR236" s="38"/>
      <c r="AS236" s="38"/>
      <c r="AT236" s="51"/>
      <c r="AU236" s="52"/>
      <c r="AV236" s="53">
        <v>45291</v>
      </c>
      <c r="AW236" s="41" t="s">
        <v>56</v>
      </c>
      <c r="AX236" s="40" t="s">
        <v>271</v>
      </c>
      <c r="AY236" s="54">
        <v>20235920004133</v>
      </c>
    </row>
    <row r="237" spans="2:51" s="37" customFormat="1" ht="26.25" x14ac:dyDescent="0.25">
      <c r="B237" s="38">
        <v>236</v>
      </c>
      <c r="C237" s="39">
        <v>2023</v>
      </c>
      <c r="D237" s="40" t="s">
        <v>1979</v>
      </c>
      <c r="E237" s="41" t="s">
        <v>96</v>
      </c>
      <c r="F237" s="40" t="s">
        <v>97</v>
      </c>
      <c r="G237" s="40" t="s">
        <v>98</v>
      </c>
      <c r="H237" s="41" t="s">
        <v>1980</v>
      </c>
      <c r="I237" s="25" t="s">
        <v>1981</v>
      </c>
      <c r="J237" s="42" t="s">
        <v>1982</v>
      </c>
      <c r="K237" s="42" t="s">
        <v>1983</v>
      </c>
      <c r="L237" s="26">
        <v>1110566834</v>
      </c>
      <c r="M237" s="43" t="s">
        <v>1984</v>
      </c>
      <c r="N237" s="44" t="s">
        <v>1985</v>
      </c>
      <c r="O237" s="45">
        <f>81000000+3870000</f>
        <v>84870000</v>
      </c>
      <c r="P237" s="44">
        <v>45013</v>
      </c>
      <c r="Q237" s="43" t="s">
        <v>1986</v>
      </c>
      <c r="R237" s="46">
        <v>45014</v>
      </c>
      <c r="S237" s="45" t="s">
        <v>162</v>
      </c>
      <c r="T237" s="46">
        <v>45019</v>
      </c>
      <c r="U237" s="45">
        <v>20250000</v>
      </c>
      <c r="V237" s="43">
        <v>1102</v>
      </c>
      <c r="W237" s="44">
        <v>45015</v>
      </c>
      <c r="X237" s="47">
        <v>20250000</v>
      </c>
      <c r="Y237" s="46">
        <v>45247</v>
      </c>
      <c r="Z237" s="48" t="s">
        <v>109</v>
      </c>
      <c r="AA237" s="49"/>
      <c r="AB237" s="48"/>
      <c r="AC237" s="26"/>
      <c r="AD237" s="48"/>
      <c r="AE237" s="49"/>
      <c r="AF237" s="49">
        <v>45246</v>
      </c>
      <c r="AG237" s="45">
        <v>3870000</v>
      </c>
      <c r="AH237" s="50">
        <f>U237+AG237</f>
        <v>24120000</v>
      </c>
      <c r="AI237" s="48" t="s">
        <v>708</v>
      </c>
      <c r="AJ237" s="48" t="s">
        <v>708</v>
      </c>
      <c r="AK237" s="49">
        <v>45246</v>
      </c>
      <c r="AL237" s="42" t="s">
        <v>1987</v>
      </c>
      <c r="AM237" s="48" t="s">
        <v>708</v>
      </c>
      <c r="AN237" s="48" t="s">
        <v>708</v>
      </c>
      <c r="AO237" s="38"/>
      <c r="AP237" s="38"/>
      <c r="AQ237" s="38"/>
      <c r="AR237" s="38"/>
      <c r="AS237" s="38"/>
      <c r="AT237" s="51"/>
      <c r="AU237" s="52"/>
      <c r="AV237" s="53">
        <v>45291</v>
      </c>
      <c r="AW237" s="41" t="s">
        <v>56</v>
      </c>
      <c r="AX237" s="40" t="s">
        <v>1179</v>
      </c>
      <c r="AY237" s="54">
        <v>20235920004123</v>
      </c>
    </row>
    <row r="238" spans="2:51" s="37" customFormat="1" ht="17.25" customHeight="1" x14ac:dyDescent="0.25">
      <c r="B238" s="38">
        <v>237</v>
      </c>
      <c r="C238" s="39">
        <v>2023</v>
      </c>
      <c r="D238" s="40" t="s">
        <v>1988</v>
      </c>
      <c r="E238" s="41" t="s">
        <v>153</v>
      </c>
      <c r="F238" s="40" t="s">
        <v>97</v>
      </c>
      <c r="G238" s="40" t="s">
        <v>98</v>
      </c>
      <c r="H238" s="41" t="s">
        <v>1989</v>
      </c>
      <c r="I238" s="25" t="s">
        <v>1990</v>
      </c>
      <c r="J238" s="42" t="s">
        <v>1991</v>
      </c>
      <c r="K238" s="42" t="s">
        <v>1992</v>
      </c>
      <c r="L238" s="26">
        <v>1000222737</v>
      </c>
      <c r="M238" s="43">
        <v>1099</v>
      </c>
      <c r="N238" s="44">
        <v>45000</v>
      </c>
      <c r="O238" s="45">
        <v>27000000</v>
      </c>
      <c r="P238" s="44">
        <v>45012</v>
      </c>
      <c r="Q238" s="43" t="s">
        <v>1993</v>
      </c>
      <c r="R238" s="46">
        <v>45013</v>
      </c>
      <c r="S238" s="45" t="s">
        <v>162</v>
      </c>
      <c r="T238" s="46">
        <v>45014</v>
      </c>
      <c r="U238" s="45">
        <v>27000000</v>
      </c>
      <c r="V238" s="43">
        <v>1097</v>
      </c>
      <c r="W238" s="44">
        <v>45013</v>
      </c>
      <c r="X238" s="47">
        <v>27000000</v>
      </c>
      <c r="Y238" s="46">
        <v>45242</v>
      </c>
      <c r="Z238" s="48" t="s">
        <v>120</v>
      </c>
      <c r="AA238" s="49"/>
      <c r="AB238" s="48"/>
      <c r="AC238" s="26"/>
      <c r="AD238" s="48"/>
      <c r="AE238" s="49"/>
      <c r="AF238" s="48"/>
      <c r="AG238" s="45"/>
      <c r="AH238" s="50">
        <f>U238+AG238</f>
        <v>27000000</v>
      </c>
      <c r="AI238" s="48"/>
      <c r="AJ238" s="48"/>
      <c r="AK238" s="48"/>
      <c r="AL238" s="42"/>
      <c r="AM238" s="48"/>
      <c r="AN238" s="48"/>
      <c r="AO238" s="38"/>
      <c r="AP238" s="38"/>
      <c r="AQ238" s="38"/>
      <c r="AR238" s="38"/>
      <c r="AS238" s="38"/>
      <c r="AT238" s="51"/>
      <c r="AU238" s="52"/>
      <c r="AV238" s="38"/>
      <c r="AW238" s="41" t="s">
        <v>122</v>
      </c>
      <c r="AX238" s="40" t="s">
        <v>652</v>
      </c>
      <c r="AY238" s="54">
        <v>20235920009483</v>
      </c>
    </row>
    <row r="239" spans="2:51" s="37" customFormat="1" ht="26.25" x14ac:dyDescent="0.25">
      <c r="B239" s="38">
        <v>238</v>
      </c>
      <c r="C239" s="39">
        <v>2023</v>
      </c>
      <c r="D239" s="40" t="s">
        <v>1994</v>
      </c>
      <c r="E239" s="41" t="s">
        <v>128</v>
      </c>
      <c r="F239" s="40" t="s">
        <v>97</v>
      </c>
      <c r="G239" s="40" t="s">
        <v>98</v>
      </c>
      <c r="H239" s="41" t="s">
        <v>1995</v>
      </c>
      <c r="I239" s="25" t="s">
        <v>1996</v>
      </c>
      <c r="J239" s="42" t="s">
        <v>462</v>
      </c>
      <c r="K239" s="42" t="s">
        <v>467</v>
      </c>
      <c r="L239" s="26">
        <v>1037647940</v>
      </c>
      <c r="M239" s="43" t="s">
        <v>1997</v>
      </c>
      <c r="N239" s="44" t="s">
        <v>1998</v>
      </c>
      <c r="O239" s="45">
        <f>97500000+2600000</f>
        <v>100100000</v>
      </c>
      <c r="P239" s="44">
        <v>45008</v>
      </c>
      <c r="Q239" s="43" t="s">
        <v>1999</v>
      </c>
      <c r="R239" s="46">
        <v>45009</v>
      </c>
      <c r="S239" s="45" t="s">
        <v>162</v>
      </c>
      <c r="T239" s="46">
        <v>45009</v>
      </c>
      <c r="U239" s="45">
        <v>48750000</v>
      </c>
      <c r="V239" s="43" t="s">
        <v>2000</v>
      </c>
      <c r="W239" s="44" t="s">
        <v>1978</v>
      </c>
      <c r="X239" s="47">
        <f>48750000+2600000</f>
        <v>51350000</v>
      </c>
      <c r="Y239" s="46">
        <v>45238</v>
      </c>
      <c r="Z239" s="48" t="s">
        <v>109</v>
      </c>
      <c r="AA239" s="49"/>
      <c r="AB239" s="48"/>
      <c r="AC239" s="26"/>
      <c r="AD239" s="48"/>
      <c r="AE239" s="49"/>
      <c r="AF239" s="49">
        <v>45238</v>
      </c>
      <c r="AG239" s="45">
        <v>2600000</v>
      </c>
      <c r="AH239" s="50">
        <f>U239+AG239</f>
        <v>51350000</v>
      </c>
      <c r="AI239" s="48" t="s">
        <v>1999</v>
      </c>
      <c r="AJ239" s="49">
        <v>45245</v>
      </c>
      <c r="AK239" s="49">
        <v>45238</v>
      </c>
      <c r="AL239" s="42" t="s">
        <v>2001</v>
      </c>
      <c r="AM239" s="48" t="s">
        <v>1999</v>
      </c>
      <c r="AN239" s="49">
        <v>45245</v>
      </c>
      <c r="AO239" s="38"/>
      <c r="AP239" s="38"/>
      <c r="AQ239" s="38"/>
      <c r="AR239" s="38"/>
      <c r="AS239" s="38"/>
      <c r="AT239" s="51"/>
      <c r="AU239" s="52"/>
      <c r="AV239" s="53">
        <v>45250</v>
      </c>
      <c r="AW239" s="41" t="s">
        <v>56</v>
      </c>
      <c r="AX239" s="40" t="s">
        <v>652</v>
      </c>
      <c r="AY239" s="54">
        <v>20235920008843</v>
      </c>
    </row>
    <row r="240" spans="2:51" s="37" customFormat="1" ht="26.25" x14ac:dyDescent="0.25">
      <c r="B240" s="38">
        <v>239</v>
      </c>
      <c r="C240" s="39">
        <v>2023</v>
      </c>
      <c r="D240" s="40" t="s">
        <v>2002</v>
      </c>
      <c r="E240" s="41" t="s">
        <v>113</v>
      </c>
      <c r="F240" s="40" t="s">
        <v>97</v>
      </c>
      <c r="G240" s="40" t="s">
        <v>98</v>
      </c>
      <c r="H240" s="41" t="s">
        <v>2003</v>
      </c>
      <c r="I240" s="25" t="s">
        <v>2004</v>
      </c>
      <c r="J240" s="42" t="s">
        <v>2005</v>
      </c>
      <c r="K240" s="42" t="s">
        <v>645</v>
      </c>
      <c r="L240" s="26">
        <v>1030551725</v>
      </c>
      <c r="M240" s="43">
        <v>1096</v>
      </c>
      <c r="N240" s="44">
        <v>44994</v>
      </c>
      <c r="O240" s="45">
        <v>52897500</v>
      </c>
      <c r="P240" s="44">
        <v>45009</v>
      </c>
      <c r="Q240" s="43" t="s">
        <v>2006</v>
      </c>
      <c r="R240" s="46">
        <v>45013</v>
      </c>
      <c r="S240" s="45" t="s">
        <v>162</v>
      </c>
      <c r="T240" s="46">
        <v>45013</v>
      </c>
      <c r="U240" s="45">
        <v>52427300</v>
      </c>
      <c r="V240" s="43">
        <v>1095</v>
      </c>
      <c r="W240" s="44">
        <v>45012</v>
      </c>
      <c r="X240" s="47">
        <v>52500000</v>
      </c>
      <c r="Y240" s="46">
        <v>45251</v>
      </c>
      <c r="Z240" s="48" t="s">
        <v>109</v>
      </c>
      <c r="AA240" s="49"/>
      <c r="AB240" s="48"/>
      <c r="AC240" s="26"/>
      <c r="AD240" s="48"/>
      <c r="AE240" s="49"/>
      <c r="AF240" s="48"/>
      <c r="AG240" s="45"/>
      <c r="AH240" s="50">
        <f>U240+AG240</f>
        <v>52427300</v>
      </c>
      <c r="AI240" s="48"/>
      <c r="AJ240" s="48"/>
      <c r="AK240" s="48"/>
      <c r="AL240" s="42"/>
      <c r="AM240" s="48"/>
      <c r="AN240" s="48"/>
      <c r="AO240" s="53">
        <v>45061</v>
      </c>
      <c r="AP240" s="38" t="s">
        <v>2007</v>
      </c>
      <c r="AQ240" s="38" t="s">
        <v>2006</v>
      </c>
      <c r="AR240" s="53">
        <v>45076</v>
      </c>
      <c r="AS240" s="53">
        <v>45071</v>
      </c>
      <c r="AT240" s="51" t="s">
        <v>2006</v>
      </c>
      <c r="AU240" s="52">
        <v>45076</v>
      </c>
      <c r="AV240" s="53">
        <v>45250</v>
      </c>
      <c r="AW240" s="41" t="s">
        <v>2008</v>
      </c>
      <c r="AX240" s="40" t="s">
        <v>430</v>
      </c>
      <c r="AY240" s="54">
        <v>20235920008813</v>
      </c>
    </row>
    <row r="241" spans="2:51" s="37" customFormat="1" ht="26.25" x14ac:dyDescent="0.25">
      <c r="B241" s="38">
        <v>240</v>
      </c>
      <c r="C241" s="39">
        <v>2023</v>
      </c>
      <c r="D241" s="40" t="s">
        <v>2009</v>
      </c>
      <c r="E241" s="41" t="s">
        <v>2010</v>
      </c>
      <c r="F241" s="40" t="s">
        <v>97</v>
      </c>
      <c r="G241" s="40" t="s">
        <v>98</v>
      </c>
      <c r="H241" s="41" t="s">
        <v>2011</v>
      </c>
      <c r="I241" s="25" t="s">
        <v>2012</v>
      </c>
      <c r="J241" s="42" t="s">
        <v>2013</v>
      </c>
      <c r="K241" s="42" t="s">
        <v>309</v>
      </c>
      <c r="L241" s="26">
        <v>52860493</v>
      </c>
      <c r="M241" s="43" t="s">
        <v>2014</v>
      </c>
      <c r="N241" s="44" t="s">
        <v>1975</v>
      </c>
      <c r="O241" s="45">
        <f>52830000+11035600</f>
        <v>63865600</v>
      </c>
      <c r="P241" s="44">
        <v>45014</v>
      </c>
      <c r="Q241" s="43" t="s">
        <v>2015</v>
      </c>
      <c r="R241" s="46">
        <v>45014</v>
      </c>
      <c r="S241" s="45" t="s">
        <v>162</v>
      </c>
      <c r="T241" s="46">
        <v>45015</v>
      </c>
      <c r="U241" s="45">
        <v>52830000</v>
      </c>
      <c r="V241" s="43" t="s">
        <v>2016</v>
      </c>
      <c r="W241" s="44" t="s">
        <v>2017</v>
      </c>
      <c r="X241" s="47">
        <f>52830000+11035600</f>
        <v>63865600</v>
      </c>
      <c r="Y241" s="46">
        <v>45243</v>
      </c>
      <c r="Z241" s="48" t="s">
        <v>109</v>
      </c>
      <c r="AA241" s="49"/>
      <c r="AB241" s="48"/>
      <c r="AC241" s="26"/>
      <c r="AD241" s="48"/>
      <c r="AE241" s="49"/>
      <c r="AF241" s="49">
        <v>45239</v>
      </c>
      <c r="AG241" s="45">
        <v>11035600</v>
      </c>
      <c r="AH241" s="50">
        <f>U241+AG241</f>
        <v>63865600</v>
      </c>
      <c r="AI241" s="48" t="s">
        <v>708</v>
      </c>
      <c r="AJ241" s="48" t="s">
        <v>708</v>
      </c>
      <c r="AK241" s="49">
        <v>45239</v>
      </c>
      <c r="AL241" s="42" t="s">
        <v>2018</v>
      </c>
      <c r="AM241" s="48" t="s">
        <v>708</v>
      </c>
      <c r="AN241" s="48" t="s">
        <v>708</v>
      </c>
      <c r="AO241" s="38"/>
      <c r="AP241" s="38"/>
      <c r="AQ241" s="38"/>
      <c r="AR241" s="38"/>
      <c r="AS241" s="38"/>
      <c r="AT241" s="51"/>
      <c r="AU241" s="52"/>
      <c r="AV241" s="53">
        <v>45291</v>
      </c>
      <c r="AW241" s="41" t="s">
        <v>56</v>
      </c>
      <c r="AX241" s="40" t="s">
        <v>195</v>
      </c>
      <c r="AY241" s="54" t="s">
        <v>121</v>
      </c>
    </row>
    <row r="242" spans="2:51" s="37" customFormat="1" ht="46.5" customHeight="1" x14ac:dyDescent="0.25">
      <c r="B242" s="38">
        <v>241</v>
      </c>
      <c r="C242" s="39">
        <v>2023</v>
      </c>
      <c r="D242" s="41" t="s">
        <v>2019</v>
      </c>
      <c r="E242" s="41" t="s">
        <v>155</v>
      </c>
      <c r="F242" s="40" t="s">
        <v>97</v>
      </c>
      <c r="G242" s="40" t="s">
        <v>2020</v>
      </c>
      <c r="H242" s="41" t="s">
        <v>2021</v>
      </c>
      <c r="I242" s="25" t="s">
        <v>2022</v>
      </c>
      <c r="J242" s="42" t="s">
        <v>2023</v>
      </c>
      <c r="K242" s="42" t="s">
        <v>2024</v>
      </c>
      <c r="L242" s="26">
        <v>899999061</v>
      </c>
      <c r="M242" s="43">
        <v>1101</v>
      </c>
      <c r="N242" s="44">
        <v>45000</v>
      </c>
      <c r="O242" s="45">
        <v>1782000000</v>
      </c>
      <c r="P242" s="44">
        <v>45007</v>
      </c>
      <c r="Q242" s="43" t="s">
        <v>121</v>
      </c>
      <c r="R242" s="46" t="s">
        <v>121</v>
      </c>
      <c r="S242" s="45" t="s">
        <v>2025</v>
      </c>
      <c r="T242" s="46">
        <v>44995</v>
      </c>
      <c r="U242" s="45">
        <v>1782000000</v>
      </c>
      <c r="V242" s="43">
        <v>1094</v>
      </c>
      <c r="W242" s="44">
        <v>45009</v>
      </c>
      <c r="X242" s="47">
        <v>1782000000</v>
      </c>
      <c r="Y242" s="46">
        <v>45291</v>
      </c>
      <c r="Z242" s="48" t="s">
        <v>120</v>
      </c>
      <c r="AA242" s="49" t="s">
        <v>121</v>
      </c>
      <c r="AB242" s="48" t="s">
        <v>121</v>
      </c>
      <c r="AC242" s="26" t="s">
        <v>121</v>
      </c>
      <c r="AD242" s="48" t="s">
        <v>121</v>
      </c>
      <c r="AE242" s="49" t="s">
        <v>121</v>
      </c>
      <c r="AF242" s="48" t="s">
        <v>121</v>
      </c>
      <c r="AG242" s="45" t="s">
        <v>121</v>
      </c>
      <c r="AH242" s="50" t="s">
        <v>121</v>
      </c>
      <c r="AI242" s="48" t="s">
        <v>121</v>
      </c>
      <c r="AJ242" s="48" t="s">
        <v>121</v>
      </c>
      <c r="AK242" s="48" t="s">
        <v>121</v>
      </c>
      <c r="AL242" s="42" t="s">
        <v>121</v>
      </c>
      <c r="AM242" s="48" t="s">
        <v>121</v>
      </c>
      <c r="AN242" s="48" t="s">
        <v>121</v>
      </c>
      <c r="AO242" s="38" t="s">
        <v>121</v>
      </c>
      <c r="AP242" s="38" t="s">
        <v>121</v>
      </c>
      <c r="AQ242" s="38" t="s">
        <v>121</v>
      </c>
      <c r="AR242" s="38" t="s">
        <v>121</v>
      </c>
      <c r="AS242" s="38" t="s">
        <v>121</v>
      </c>
      <c r="AT242" s="51" t="s">
        <v>121</v>
      </c>
      <c r="AU242" s="52" t="s">
        <v>121</v>
      </c>
      <c r="AV242" s="38" t="s">
        <v>121</v>
      </c>
      <c r="AW242" s="41" t="s">
        <v>2026</v>
      </c>
      <c r="AX242" s="40" t="s">
        <v>1448</v>
      </c>
      <c r="AY242" s="54">
        <v>20235920004253</v>
      </c>
    </row>
    <row r="243" spans="2:51" s="37" customFormat="1" ht="26.25" x14ac:dyDescent="0.25">
      <c r="B243" s="38">
        <v>242</v>
      </c>
      <c r="C243" s="39">
        <v>2023</v>
      </c>
      <c r="D243" s="40" t="s">
        <v>2027</v>
      </c>
      <c r="E243" s="41" t="s">
        <v>153</v>
      </c>
      <c r="F243" s="40" t="s">
        <v>97</v>
      </c>
      <c r="G243" s="40" t="s">
        <v>98</v>
      </c>
      <c r="H243" s="41" t="s">
        <v>2028</v>
      </c>
      <c r="I243" s="25" t="s">
        <v>2029</v>
      </c>
      <c r="J243" s="42" t="s">
        <v>1152</v>
      </c>
      <c r="K243" s="42" t="s">
        <v>2030</v>
      </c>
      <c r="L243" s="26">
        <v>52435768</v>
      </c>
      <c r="M243" s="43" t="s">
        <v>2031</v>
      </c>
      <c r="N243" s="44" t="s">
        <v>1975</v>
      </c>
      <c r="O243" s="45">
        <f>77580000+7413200</f>
        <v>84993200</v>
      </c>
      <c r="P243" s="44">
        <v>45014</v>
      </c>
      <c r="Q243" s="43" t="s">
        <v>2032</v>
      </c>
      <c r="R243" s="46">
        <v>45015</v>
      </c>
      <c r="S243" s="45" t="s">
        <v>162</v>
      </c>
      <c r="T243" s="46">
        <v>45019</v>
      </c>
      <c r="U243" s="45">
        <v>38790000</v>
      </c>
      <c r="V243" s="43" t="s">
        <v>2033</v>
      </c>
      <c r="W243" s="44" t="s">
        <v>2034</v>
      </c>
      <c r="X243" s="47">
        <f>38790000+7413200</f>
        <v>46203200</v>
      </c>
      <c r="Y243" s="46">
        <v>45247</v>
      </c>
      <c r="Z243" s="48" t="s">
        <v>109</v>
      </c>
      <c r="AA243" s="49"/>
      <c r="AB243" s="48"/>
      <c r="AC243" s="26"/>
      <c r="AD243" s="48"/>
      <c r="AE243" s="49"/>
      <c r="AF243" s="49">
        <v>45245</v>
      </c>
      <c r="AG243" s="45">
        <v>7413200</v>
      </c>
      <c r="AH243" s="50">
        <f>U243+AG243</f>
        <v>46203200</v>
      </c>
      <c r="AI243" s="48" t="s">
        <v>708</v>
      </c>
      <c r="AJ243" s="48" t="s">
        <v>708</v>
      </c>
      <c r="AK243" s="49">
        <v>45245</v>
      </c>
      <c r="AL243" s="42" t="s">
        <v>1987</v>
      </c>
      <c r="AM243" s="48" t="s">
        <v>708</v>
      </c>
      <c r="AN243" s="48" t="s">
        <v>708</v>
      </c>
      <c r="AO243" s="38"/>
      <c r="AP243" s="38"/>
      <c r="AQ243" s="38"/>
      <c r="AR243" s="38"/>
      <c r="AS243" s="38"/>
      <c r="AT243" s="51"/>
      <c r="AU243" s="52"/>
      <c r="AV243" s="53">
        <v>45291</v>
      </c>
      <c r="AW243" s="41" t="s">
        <v>56</v>
      </c>
      <c r="AX243" s="40" t="s">
        <v>845</v>
      </c>
      <c r="AY243" s="54">
        <v>20235920004173</v>
      </c>
    </row>
    <row r="244" spans="2:51" s="37" customFormat="1" ht="26.25" x14ac:dyDescent="0.25">
      <c r="B244" s="38">
        <v>243</v>
      </c>
      <c r="C244" s="39">
        <v>2023</v>
      </c>
      <c r="D244" s="40" t="s">
        <v>2035</v>
      </c>
      <c r="E244" s="41" t="s">
        <v>199</v>
      </c>
      <c r="F244" s="40" t="s">
        <v>97</v>
      </c>
      <c r="G244" s="40" t="s">
        <v>98</v>
      </c>
      <c r="H244" s="41" t="s">
        <v>2036</v>
      </c>
      <c r="I244" s="25" t="s">
        <v>2037</v>
      </c>
      <c r="J244" s="42" t="s">
        <v>2038</v>
      </c>
      <c r="K244" s="42" t="s">
        <v>2039</v>
      </c>
      <c r="L244" s="26">
        <v>1124011373</v>
      </c>
      <c r="M244" s="43" t="s">
        <v>2040</v>
      </c>
      <c r="N244" s="44" t="s">
        <v>2041</v>
      </c>
      <c r="O244" s="45">
        <f>33855000+6470067</f>
        <v>40325067</v>
      </c>
      <c r="P244" s="44">
        <v>45014</v>
      </c>
      <c r="Q244" s="43" t="s">
        <v>2042</v>
      </c>
      <c r="R244" s="46">
        <v>45016</v>
      </c>
      <c r="S244" s="45" t="s">
        <v>162</v>
      </c>
      <c r="T244" s="46">
        <v>45019</v>
      </c>
      <c r="U244" s="45">
        <v>33855000</v>
      </c>
      <c r="V244" s="43" t="s">
        <v>2043</v>
      </c>
      <c r="W244" s="44" t="s">
        <v>2044</v>
      </c>
      <c r="X244" s="47">
        <f>33855000+6470067</f>
        <v>40325067</v>
      </c>
      <c r="Y244" s="46">
        <v>45247</v>
      </c>
      <c r="Z244" s="48" t="s">
        <v>109</v>
      </c>
      <c r="AA244" s="49">
        <v>45140</v>
      </c>
      <c r="AB244" s="48" t="s">
        <v>57</v>
      </c>
      <c r="AC244" s="26">
        <v>53134670</v>
      </c>
      <c r="AD244" s="48" t="s">
        <v>2045</v>
      </c>
      <c r="AE244" s="49">
        <v>45147</v>
      </c>
      <c r="AF244" s="49">
        <v>45244</v>
      </c>
      <c r="AG244" s="45">
        <v>6470067</v>
      </c>
      <c r="AH244" s="50">
        <f>U244+AG244</f>
        <v>40325067</v>
      </c>
      <c r="AI244" s="48" t="s">
        <v>708</v>
      </c>
      <c r="AJ244" s="48" t="s">
        <v>708</v>
      </c>
      <c r="AK244" s="49">
        <v>45244</v>
      </c>
      <c r="AL244" s="42" t="s">
        <v>1987</v>
      </c>
      <c r="AM244" s="48" t="s">
        <v>708</v>
      </c>
      <c r="AN244" s="48" t="s">
        <v>708</v>
      </c>
      <c r="AO244" s="38"/>
      <c r="AP244" s="38"/>
      <c r="AQ244" s="38"/>
      <c r="AR244" s="38"/>
      <c r="AS244" s="38"/>
      <c r="AT244" s="51"/>
      <c r="AU244" s="52"/>
      <c r="AV244" s="53">
        <v>45291</v>
      </c>
      <c r="AW244" s="41" t="s">
        <v>137</v>
      </c>
      <c r="AX244" s="40" t="s">
        <v>529</v>
      </c>
      <c r="AY244" s="54">
        <v>20235920004693</v>
      </c>
    </row>
    <row r="245" spans="2:51" s="37" customFormat="1" ht="26.25" x14ac:dyDescent="0.25">
      <c r="B245" s="38">
        <v>244</v>
      </c>
      <c r="C245" s="39">
        <v>2023</v>
      </c>
      <c r="D245" s="40" t="s">
        <v>2046</v>
      </c>
      <c r="E245" s="41" t="s">
        <v>518</v>
      </c>
      <c r="F245" s="40" t="s">
        <v>97</v>
      </c>
      <c r="G245" s="40" t="s">
        <v>98</v>
      </c>
      <c r="H245" s="41" t="s">
        <v>2047</v>
      </c>
      <c r="I245" s="25" t="s">
        <v>2048</v>
      </c>
      <c r="J245" s="42" t="s">
        <v>2049</v>
      </c>
      <c r="K245" s="42" t="s">
        <v>1776</v>
      </c>
      <c r="L245" s="26">
        <v>1136887146</v>
      </c>
      <c r="M245" s="43" t="s">
        <v>2050</v>
      </c>
      <c r="N245" s="44" t="s">
        <v>2051</v>
      </c>
      <c r="O245" s="45">
        <f>38250000+8160000</f>
        <v>46410000</v>
      </c>
      <c r="P245" s="44">
        <v>45013</v>
      </c>
      <c r="Q245" s="43" t="s">
        <v>2052</v>
      </c>
      <c r="R245" s="46">
        <v>45013</v>
      </c>
      <c r="S245" s="45" t="s">
        <v>162</v>
      </c>
      <c r="T245" s="46">
        <v>45013</v>
      </c>
      <c r="U245" s="45">
        <v>38250000</v>
      </c>
      <c r="V245" s="43" t="s">
        <v>2053</v>
      </c>
      <c r="W245" s="44" t="s">
        <v>1966</v>
      </c>
      <c r="X245" s="47">
        <f>38250000+8160000</f>
        <v>46410000</v>
      </c>
      <c r="Y245" s="46">
        <v>45242</v>
      </c>
      <c r="Z245" s="48" t="s">
        <v>109</v>
      </c>
      <c r="AA245" s="49"/>
      <c r="AB245" s="48"/>
      <c r="AC245" s="26"/>
      <c r="AD245" s="48"/>
      <c r="AE245" s="49"/>
      <c r="AF245" s="49">
        <v>45239</v>
      </c>
      <c r="AG245" s="45">
        <v>8160000</v>
      </c>
      <c r="AH245" s="50">
        <f>U245+AG245</f>
        <v>46410000</v>
      </c>
      <c r="AI245" s="48" t="s">
        <v>708</v>
      </c>
      <c r="AJ245" s="48" t="s">
        <v>708</v>
      </c>
      <c r="AK245" s="49">
        <v>45239</v>
      </c>
      <c r="AL245" s="42" t="s">
        <v>1969</v>
      </c>
      <c r="AM245" s="48" t="s">
        <v>708</v>
      </c>
      <c r="AN245" s="48" t="s">
        <v>708</v>
      </c>
      <c r="AO245" s="38"/>
      <c r="AP245" s="38"/>
      <c r="AQ245" s="38"/>
      <c r="AR245" s="38"/>
      <c r="AS245" s="38"/>
      <c r="AT245" s="51"/>
      <c r="AU245" s="52"/>
      <c r="AV245" s="53">
        <v>45291</v>
      </c>
      <c r="AW245" s="41" t="s">
        <v>56</v>
      </c>
      <c r="AX245" s="40" t="s">
        <v>845</v>
      </c>
      <c r="AY245" s="54">
        <v>20235920004163</v>
      </c>
    </row>
    <row r="246" spans="2:51" s="37" customFormat="1" ht="26.25" x14ac:dyDescent="0.25">
      <c r="B246" s="38">
        <v>245</v>
      </c>
      <c r="C246" s="39">
        <v>2023</v>
      </c>
      <c r="D246" s="40" t="s">
        <v>2054</v>
      </c>
      <c r="E246" s="41" t="s">
        <v>96</v>
      </c>
      <c r="F246" s="40" t="s">
        <v>97</v>
      </c>
      <c r="G246" s="40" t="s">
        <v>98</v>
      </c>
      <c r="H246" s="41" t="s">
        <v>2055</v>
      </c>
      <c r="I246" s="25" t="s">
        <v>2056</v>
      </c>
      <c r="J246" s="42" t="s">
        <v>2057</v>
      </c>
      <c r="K246" s="42" t="s">
        <v>2058</v>
      </c>
      <c r="L246" s="26">
        <v>1016008539</v>
      </c>
      <c r="M246" s="43" t="s">
        <v>2059</v>
      </c>
      <c r="N246" s="44" t="s">
        <v>1985</v>
      </c>
      <c r="O246" s="45">
        <f>81000000+3870000</f>
        <v>84870000</v>
      </c>
      <c r="P246" s="44">
        <v>45013</v>
      </c>
      <c r="Q246" s="43" t="s">
        <v>2060</v>
      </c>
      <c r="R246" s="46">
        <v>45013</v>
      </c>
      <c r="S246" s="45" t="s">
        <v>162</v>
      </c>
      <c r="T246" s="46">
        <v>45019</v>
      </c>
      <c r="U246" s="45">
        <v>20250000</v>
      </c>
      <c r="V246" s="43" t="s">
        <v>2061</v>
      </c>
      <c r="W246" s="44" t="s">
        <v>2044</v>
      </c>
      <c r="X246" s="47">
        <f>20250000+3870000</f>
        <v>24120000</v>
      </c>
      <c r="Y246" s="46">
        <v>45247</v>
      </c>
      <c r="Z246" s="48" t="s">
        <v>109</v>
      </c>
      <c r="AA246" s="49"/>
      <c r="AB246" s="48"/>
      <c r="AC246" s="26"/>
      <c r="AD246" s="48"/>
      <c r="AE246" s="49"/>
      <c r="AF246" s="49">
        <v>45244</v>
      </c>
      <c r="AG246" s="45">
        <v>3870000</v>
      </c>
      <c r="AH246" s="50">
        <f>U246+AG246</f>
        <v>24120000</v>
      </c>
      <c r="AI246" s="48" t="s">
        <v>708</v>
      </c>
      <c r="AJ246" s="48" t="s">
        <v>708</v>
      </c>
      <c r="AK246" s="49">
        <v>45244</v>
      </c>
      <c r="AL246" s="42" t="s">
        <v>1987</v>
      </c>
      <c r="AM246" s="48" t="s">
        <v>708</v>
      </c>
      <c r="AN246" s="48" t="s">
        <v>708</v>
      </c>
      <c r="AO246" s="38"/>
      <c r="AP246" s="38"/>
      <c r="AQ246" s="38"/>
      <c r="AR246" s="38"/>
      <c r="AS246" s="38"/>
      <c r="AT246" s="51"/>
      <c r="AU246" s="52"/>
      <c r="AV246" s="53">
        <v>45291</v>
      </c>
      <c r="AW246" s="41" t="s">
        <v>56</v>
      </c>
      <c r="AX246" s="40" t="s">
        <v>1179</v>
      </c>
      <c r="AY246" s="54">
        <v>20235920004123</v>
      </c>
    </row>
    <row r="247" spans="2:51" s="37" customFormat="1" ht="26.25" x14ac:dyDescent="0.25">
      <c r="B247" s="38">
        <v>246</v>
      </c>
      <c r="C247" s="39">
        <v>2023</v>
      </c>
      <c r="D247" s="40" t="s">
        <v>2062</v>
      </c>
      <c r="E247" s="41" t="s">
        <v>199</v>
      </c>
      <c r="F247" s="40" t="s">
        <v>97</v>
      </c>
      <c r="G247" s="40" t="s">
        <v>98</v>
      </c>
      <c r="H247" s="41" t="s">
        <v>2063</v>
      </c>
      <c r="I247" s="25" t="s">
        <v>2064</v>
      </c>
      <c r="J247" s="42" t="s">
        <v>2065</v>
      </c>
      <c r="K247" s="42" t="s">
        <v>2066</v>
      </c>
      <c r="L247" s="26">
        <v>1010193154</v>
      </c>
      <c r="M247" s="43" t="s">
        <v>2067</v>
      </c>
      <c r="N247" s="44" t="s">
        <v>2068</v>
      </c>
      <c r="O247" s="45">
        <f>36204000+8620000</f>
        <v>44824000</v>
      </c>
      <c r="P247" s="44">
        <v>45020</v>
      </c>
      <c r="Q247" s="43" t="s">
        <v>2069</v>
      </c>
      <c r="R247" s="46">
        <v>45027</v>
      </c>
      <c r="S247" s="45" t="s">
        <v>1573</v>
      </c>
      <c r="T247" s="46">
        <v>45027</v>
      </c>
      <c r="U247" s="45">
        <v>36204000</v>
      </c>
      <c r="V247" s="43" t="s">
        <v>2070</v>
      </c>
      <c r="W247" s="44" t="s">
        <v>2071</v>
      </c>
      <c r="X247" s="47">
        <f>36204000+8620000</f>
        <v>44824000</v>
      </c>
      <c r="Y247" s="46">
        <v>45240</v>
      </c>
      <c r="Z247" s="48" t="s">
        <v>109</v>
      </c>
      <c r="AA247" s="49"/>
      <c r="AB247" s="48"/>
      <c r="AC247" s="26"/>
      <c r="AD247" s="48"/>
      <c r="AE247" s="49"/>
      <c r="AF247" s="49">
        <v>45239</v>
      </c>
      <c r="AG247" s="45">
        <v>8620000</v>
      </c>
      <c r="AH247" s="50">
        <f>U247+AG247</f>
        <v>44824000</v>
      </c>
      <c r="AI247" s="48" t="s">
        <v>2069</v>
      </c>
      <c r="AJ247" s="49">
        <v>45240</v>
      </c>
      <c r="AK247" s="49">
        <v>45239</v>
      </c>
      <c r="AL247" s="42" t="s">
        <v>2072</v>
      </c>
      <c r="AM247" s="48" t="s">
        <v>2069</v>
      </c>
      <c r="AN247" s="49">
        <v>45240</v>
      </c>
      <c r="AO247" s="38"/>
      <c r="AP247" s="38"/>
      <c r="AQ247" s="38"/>
      <c r="AR247" s="38"/>
      <c r="AS247" s="38"/>
      <c r="AT247" s="51"/>
      <c r="AU247" s="52"/>
      <c r="AV247" s="53">
        <v>45291</v>
      </c>
      <c r="AW247" s="41" t="s">
        <v>56</v>
      </c>
      <c r="AX247" s="40" t="s">
        <v>1718</v>
      </c>
      <c r="AY247" s="54">
        <v>20235920004803</v>
      </c>
    </row>
    <row r="248" spans="2:51" s="37" customFormat="1" ht="26.25" x14ac:dyDescent="0.25">
      <c r="B248" s="38">
        <v>247</v>
      </c>
      <c r="C248" s="39">
        <v>2023</v>
      </c>
      <c r="D248" s="40" t="s">
        <v>2073</v>
      </c>
      <c r="E248" s="41" t="s">
        <v>96</v>
      </c>
      <c r="F248" s="40" t="s">
        <v>97</v>
      </c>
      <c r="G248" s="40" t="s">
        <v>98</v>
      </c>
      <c r="H248" s="41" t="s">
        <v>2074</v>
      </c>
      <c r="I248" s="25" t="s">
        <v>2075</v>
      </c>
      <c r="J248" s="42" t="s">
        <v>462</v>
      </c>
      <c r="K248" s="42" t="s">
        <v>2076</v>
      </c>
      <c r="L248" s="26">
        <v>1032500370</v>
      </c>
      <c r="M248" s="43" t="s">
        <v>2077</v>
      </c>
      <c r="N248" s="44" t="s">
        <v>1975</v>
      </c>
      <c r="O248" s="45">
        <f>33855000+6169133</f>
        <v>40024133</v>
      </c>
      <c r="P248" s="44">
        <v>45016</v>
      </c>
      <c r="Q248" s="43" t="s">
        <v>2078</v>
      </c>
      <c r="R248" s="46">
        <v>45020</v>
      </c>
      <c r="S248" s="45" t="s">
        <v>162</v>
      </c>
      <c r="T248" s="46">
        <v>45021</v>
      </c>
      <c r="U248" s="45">
        <v>33855000</v>
      </c>
      <c r="V248" s="43">
        <v>1105</v>
      </c>
      <c r="W248" s="44">
        <v>45016</v>
      </c>
      <c r="X248" s="47">
        <v>33855000</v>
      </c>
      <c r="Y248" s="46">
        <v>45249</v>
      </c>
      <c r="Z248" s="48" t="s">
        <v>109</v>
      </c>
      <c r="AA248" s="48"/>
      <c r="AB248" s="48"/>
      <c r="AC248" s="26"/>
      <c r="AD248" s="48"/>
      <c r="AE248" s="48"/>
      <c r="AF248" s="48" t="s">
        <v>708</v>
      </c>
      <c r="AG248" s="45">
        <v>6169133</v>
      </c>
      <c r="AH248" s="50">
        <f>U248+AG248</f>
        <v>40024133</v>
      </c>
      <c r="AI248" s="48" t="s">
        <v>708</v>
      </c>
      <c r="AJ248" s="48" t="s">
        <v>708</v>
      </c>
      <c r="AK248" s="48" t="s">
        <v>708</v>
      </c>
      <c r="AL248" s="42" t="s">
        <v>2079</v>
      </c>
      <c r="AM248" s="48" t="s">
        <v>708</v>
      </c>
      <c r="AN248" s="48" t="s">
        <v>708</v>
      </c>
      <c r="AO248" s="38"/>
      <c r="AP248" s="38"/>
      <c r="AQ248" s="38"/>
      <c r="AR248" s="38"/>
      <c r="AS248" s="38"/>
      <c r="AT248" s="51"/>
      <c r="AU248" s="52"/>
      <c r="AV248" s="38" t="s">
        <v>708</v>
      </c>
      <c r="AW248" s="41" t="s">
        <v>56</v>
      </c>
      <c r="AX248" s="40" t="s">
        <v>467</v>
      </c>
      <c r="AY248" s="54">
        <v>20235920004943</v>
      </c>
    </row>
    <row r="249" spans="2:51" s="37" customFormat="1" ht="26.25" x14ac:dyDescent="0.25">
      <c r="B249" s="38">
        <v>248</v>
      </c>
      <c r="C249" s="39">
        <v>2023</v>
      </c>
      <c r="D249" s="40" t="s">
        <v>2080</v>
      </c>
      <c r="E249" s="41" t="s">
        <v>96</v>
      </c>
      <c r="F249" s="40" t="s">
        <v>97</v>
      </c>
      <c r="G249" s="40" t="s">
        <v>98</v>
      </c>
      <c r="H249" s="41" t="s">
        <v>2081</v>
      </c>
      <c r="I249" s="25" t="s">
        <v>2082</v>
      </c>
      <c r="J249" s="42" t="s">
        <v>656</v>
      </c>
      <c r="K249" s="42" t="s">
        <v>2083</v>
      </c>
      <c r="L249" s="26">
        <v>60315384</v>
      </c>
      <c r="M249" s="43" t="s">
        <v>2084</v>
      </c>
      <c r="N249" s="44" t="s">
        <v>2085</v>
      </c>
      <c r="O249" s="45">
        <f>45000000+8600000</f>
        <v>53600000</v>
      </c>
      <c r="P249" s="44">
        <v>45016</v>
      </c>
      <c r="Q249" s="43" t="s">
        <v>2086</v>
      </c>
      <c r="R249" s="46">
        <v>45016</v>
      </c>
      <c r="S249" s="45" t="s">
        <v>162</v>
      </c>
      <c r="T249" s="46">
        <v>45019</v>
      </c>
      <c r="U249" s="45">
        <v>45000000</v>
      </c>
      <c r="V249" s="43" t="s">
        <v>2087</v>
      </c>
      <c r="W249" s="44" t="s">
        <v>2088</v>
      </c>
      <c r="X249" s="47">
        <f>45000000+8600000</f>
        <v>53600000</v>
      </c>
      <c r="Y249" s="46">
        <v>45247</v>
      </c>
      <c r="Z249" s="48" t="s">
        <v>109</v>
      </c>
      <c r="AA249" s="48"/>
      <c r="AB249" s="48"/>
      <c r="AC249" s="26"/>
      <c r="AD249" s="48"/>
      <c r="AE249" s="48"/>
      <c r="AF249" s="49">
        <v>45244</v>
      </c>
      <c r="AG249" s="45">
        <v>8600000</v>
      </c>
      <c r="AH249" s="50">
        <f>U249+AG249</f>
        <v>53600000</v>
      </c>
      <c r="AI249" s="48" t="s">
        <v>708</v>
      </c>
      <c r="AJ249" s="48" t="s">
        <v>708</v>
      </c>
      <c r="AK249" s="49">
        <v>45244</v>
      </c>
      <c r="AL249" s="42" t="s">
        <v>1987</v>
      </c>
      <c r="AM249" s="48" t="s">
        <v>708</v>
      </c>
      <c r="AN249" s="48" t="s">
        <v>708</v>
      </c>
      <c r="AO249" s="38"/>
      <c r="AP249" s="38"/>
      <c r="AQ249" s="38"/>
      <c r="AR249" s="38"/>
      <c r="AS249" s="38"/>
      <c r="AT249" s="51"/>
      <c r="AU249" s="52"/>
      <c r="AV249" s="53">
        <v>45291</v>
      </c>
      <c r="AW249" s="41" t="s">
        <v>56</v>
      </c>
      <c r="AX249" s="40" t="s">
        <v>271</v>
      </c>
      <c r="AY249" s="54">
        <v>20235920004133</v>
      </c>
    </row>
    <row r="250" spans="2:51" s="37" customFormat="1" ht="26.25" x14ac:dyDescent="0.25">
      <c r="B250" s="38">
        <v>249</v>
      </c>
      <c r="C250" s="39">
        <v>2023</v>
      </c>
      <c r="D250" s="40" t="s">
        <v>2089</v>
      </c>
      <c r="E250" s="41" t="s">
        <v>96</v>
      </c>
      <c r="F250" s="40" t="s">
        <v>97</v>
      </c>
      <c r="G250" s="40" t="s">
        <v>98</v>
      </c>
      <c r="H250" s="41" t="s">
        <v>2090</v>
      </c>
      <c r="I250" s="25" t="s">
        <v>2091</v>
      </c>
      <c r="J250" s="42" t="s">
        <v>462</v>
      </c>
      <c r="K250" s="42" t="s">
        <v>2092</v>
      </c>
      <c r="L250" s="26">
        <v>1018515495</v>
      </c>
      <c r="M250" s="43" t="s">
        <v>2093</v>
      </c>
      <c r="N250" s="44" t="s">
        <v>2094</v>
      </c>
      <c r="O250" s="45">
        <f>33855000+5266333</f>
        <v>39121333</v>
      </c>
      <c r="P250" s="44">
        <v>45021</v>
      </c>
      <c r="Q250" s="43" t="s">
        <v>2095</v>
      </c>
      <c r="R250" s="46">
        <v>45026</v>
      </c>
      <c r="S250" s="45" t="s">
        <v>162</v>
      </c>
      <c r="T250" s="46">
        <v>45027</v>
      </c>
      <c r="U250" s="45">
        <v>33855000</v>
      </c>
      <c r="V250" s="43" t="s">
        <v>2096</v>
      </c>
      <c r="W250" s="44" t="s">
        <v>2097</v>
      </c>
      <c r="X250" s="47">
        <f>33855000+5266333</f>
        <v>39121333</v>
      </c>
      <c r="Y250" s="46">
        <v>45255</v>
      </c>
      <c r="Z250" s="48" t="s">
        <v>109</v>
      </c>
      <c r="AA250" s="48"/>
      <c r="AB250" s="48"/>
      <c r="AC250" s="26"/>
      <c r="AD250" s="48"/>
      <c r="AE250" s="48"/>
      <c r="AF250" s="49">
        <v>45245</v>
      </c>
      <c r="AG250" s="45">
        <v>5266333</v>
      </c>
      <c r="AH250" s="50">
        <f>U250+AG250</f>
        <v>39121333</v>
      </c>
      <c r="AI250" s="48" t="s">
        <v>708</v>
      </c>
      <c r="AJ250" s="48" t="s">
        <v>708</v>
      </c>
      <c r="AK250" s="49">
        <v>45245</v>
      </c>
      <c r="AL250" s="42" t="s">
        <v>2098</v>
      </c>
      <c r="AM250" s="48" t="s">
        <v>708</v>
      </c>
      <c r="AN250" s="48" t="s">
        <v>708</v>
      </c>
      <c r="AO250" s="38"/>
      <c r="AP250" s="38"/>
      <c r="AQ250" s="38"/>
      <c r="AR250" s="38"/>
      <c r="AS250" s="38"/>
      <c r="AT250" s="51"/>
      <c r="AU250" s="52"/>
      <c r="AV250" s="53">
        <v>45291</v>
      </c>
      <c r="AW250" s="41" t="s">
        <v>56</v>
      </c>
      <c r="AX250" s="40" t="s">
        <v>467</v>
      </c>
      <c r="AY250" s="54">
        <v>20235920004943</v>
      </c>
    </row>
    <row r="251" spans="2:51" s="37" customFormat="1" ht="26.25" x14ac:dyDescent="0.25">
      <c r="B251" s="38">
        <v>250</v>
      </c>
      <c r="C251" s="39">
        <v>2023</v>
      </c>
      <c r="D251" s="40" t="s">
        <v>2099</v>
      </c>
      <c r="E251" s="41" t="s">
        <v>96</v>
      </c>
      <c r="F251" s="40" t="s">
        <v>97</v>
      </c>
      <c r="G251" s="40" t="s">
        <v>98</v>
      </c>
      <c r="H251" s="41" t="s">
        <v>2100</v>
      </c>
      <c r="I251" s="25" t="s">
        <v>2101</v>
      </c>
      <c r="J251" s="42" t="s">
        <v>2057</v>
      </c>
      <c r="K251" s="42" t="s">
        <v>2102</v>
      </c>
      <c r="L251" s="26">
        <v>11795468</v>
      </c>
      <c r="M251" s="43" t="s">
        <v>2103</v>
      </c>
      <c r="N251" s="44" t="s">
        <v>1985</v>
      </c>
      <c r="O251" s="45">
        <f>81000000+3780000</f>
        <v>84780000</v>
      </c>
      <c r="P251" s="44">
        <v>45016</v>
      </c>
      <c r="Q251" s="43" t="s">
        <v>2104</v>
      </c>
      <c r="R251" s="46">
        <v>45020</v>
      </c>
      <c r="S251" s="45" t="s">
        <v>162</v>
      </c>
      <c r="T251" s="46">
        <v>45020</v>
      </c>
      <c r="U251" s="45">
        <v>20250000</v>
      </c>
      <c r="V251" s="43" t="s">
        <v>2105</v>
      </c>
      <c r="W251" s="44" t="s">
        <v>2088</v>
      </c>
      <c r="X251" s="47">
        <f>20250000+3780000</f>
        <v>24030000</v>
      </c>
      <c r="Y251" s="46">
        <v>45248</v>
      </c>
      <c r="Z251" s="48" t="s">
        <v>109</v>
      </c>
      <c r="AA251" s="48"/>
      <c r="AB251" s="48"/>
      <c r="AC251" s="26"/>
      <c r="AD251" s="48"/>
      <c r="AE251" s="48"/>
      <c r="AF251" s="49">
        <v>45244</v>
      </c>
      <c r="AG251" s="45">
        <v>3780000</v>
      </c>
      <c r="AH251" s="50">
        <f>U251+AG251</f>
        <v>24030000</v>
      </c>
      <c r="AI251" s="48" t="s">
        <v>708</v>
      </c>
      <c r="AJ251" s="48" t="s">
        <v>708</v>
      </c>
      <c r="AK251" s="49">
        <v>45244</v>
      </c>
      <c r="AL251" s="42" t="s">
        <v>2106</v>
      </c>
      <c r="AM251" s="48" t="s">
        <v>708</v>
      </c>
      <c r="AN251" s="48" t="s">
        <v>708</v>
      </c>
      <c r="AO251" s="38"/>
      <c r="AP251" s="38"/>
      <c r="AQ251" s="38"/>
      <c r="AR251" s="38"/>
      <c r="AS251" s="38"/>
      <c r="AT251" s="51"/>
      <c r="AU251" s="52"/>
      <c r="AV251" s="53">
        <v>45291</v>
      </c>
      <c r="AW251" s="41" t="s">
        <v>56</v>
      </c>
      <c r="AX251" s="40" t="s">
        <v>1179</v>
      </c>
      <c r="AY251" s="54">
        <v>20235920004973</v>
      </c>
    </row>
    <row r="252" spans="2:51" s="37" customFormat="1" ht="26.25" x14ac:dyDescent="0.25">
      <c r="B252" s="38">
        <v>251</v>
      </c>
      <c r="C252" s="39">
        <v>2023</v>
      </c>
      <c r="D252" s="40" t="s">
        <v>2107</v>
      </c>
      <c r="E252" s="41" t="s">
        <v>518</v>
      </c>
      <c r="F252" s="40" t="s">
        <v>97</v>
      </c>
      <c r="G252" s="40" t="s">
        <v>98</v>
      </c>
      <c r="H252" s="41" t="s">
        <v>2108</v>
      </c>
      <c r="I252" s="25" t="s">
        <v>2109</v>
      </c>
      <c r="J252" s="42" t="s">
        <v>214</v>
      </c>
      <c r="K252" s="42" t="s">
        <v>2110</v>
      </c>
      <c r="L252" s="26">
        <v>1032380744</v>
      </c>
      <c r="M252" s="43" t="s">
        <v>2111</v>
      </c>
      <c r="N252" s="44" t="s">
        <v>1975</v>
      </c>
      <c r="O252" s="45">
        <f>79500000+6360000</f>
        <v>85860000</v>
      </c>
      <c r="P252" s="44">
        <v>45016</v>
      </c>
      <c r="Q252" s="43" t="s">
        <v>2112</v>
      </c>
      <c r="R252" s="46">
        <v>45020</v>
      </c>
      <c r="S252" s="45" t="s">
        <v>162</v>
      </c>
      <c r="T252" s="46">
        <v>45026</v>
      </c>
      <c r="U252" s="45">
        <v>39750000</v>
      </c>
      <c r="V252" s="43">
        <v>1109</v>
      </c>
      <c r="W252" s="44">
        <v>45026</v>
      </c>
      <c r="X252" s="47">
        <v>39750000</v>
      </c>
      <c r="Y252" s="46">
        <v>45254</v>
      </c>
      <c r="Z252" s="48" t="s">
        <v>109</v>
      </c>
      <c r="AA252" s="48"/>
      <c r="AB252" s="48"/>
      <c r="AC252" s="26"/>
      <c r="AD252" s="48"/>
      <c r="AE252" s="48"/>
      <c r="AF252" s="48" t="s">
        <v>708</v>
      </c>
      <c r="AG252" s="45">
        <v>6360000</v>
      </c>
      <c r="AH252" s="50">
        <f>U252+AG252</f>
        <v>46110000</v>
      </c>
      <c r="AI252" s="48" t="s">
        <v>708</v>
      </c>
      <c r="AJ252" s="48" t="s">
        <v>708</v>
      </c>
      <c r="AK252" s="48" t="s">
        <v>708</v>
      </c>
      <c r="AL252" s="42" t="s">
        <v>2113</v>
      </c>
      <c r="AM252" s="48" t="s">
        <v>708</v>
      </c>
      <c r="AN252" s="48" t="s">
        <v>708</v>
      </c>
      <c r="AO252" s="38"/>
      <c r="AP252" s="38"/>
      <c r="AQ252" s="38"/>
      <c r="AR252" s="38"/>
      <c r="AS252" s="38"/>
      <c r="AT252" s="51"/>
      <c r="AU252" s="52"/>
      <c r="AV252" s="38" t="s">
        <v>708</v>
      </c>
      <c r="AW252" s="41" t="s">
        <v>56</v>
      </c>
      <c r="AX252" s="40" t="s">
        <v>226</v>
      </c>
      <c r="AY252" s="54">
        <v>20235920004193</v>
      </c>
    </row>
    <row r="253" spans="2:51" s="37" customFormat="1" ht="26.25" x14ac:dyDescent="0.25">
      <c r="B253" s="38">
        <v>252</v>
      </c>
      <c r="C253" s="39">
        <v>2023</v>
      </c>
      <c r="D253" s="40" t="s">
        <v>2114</v>
      </c>
      <c r="E253" s="41" t="s">
        <v>518</v>
      </c>
      <c r="F253" s="40" t="s">
        <v>97</v>
      </c>
      <c r="G253" s="40" t="s">
        <v>98</v>
      </c>
      <c r="H253" s="41" t="s">
        <v>2115</v>
      </c>
      <c r="I253" s="25" t="s">
        <v>2116</v>
      </c>
      <c r="J253" s="42" t="s">
        <v>214</v>
      </c>
      <c r="K253" s="42" t="s">
        <v>2117</v>
      </c>
      <c r="L253" s="26">
        <v>80027606</v>
      </c>
      <c r="M253" s="43" t="s">
        <v>2118</v>
      </c>
      <c r="N253" s="44" t="s">
        <v>1975</v>
      </c>
      <c r="O253" s="45">
        <f>79500000+6360000</f>
        <v>85860000</v>
      </c>
      <c r="P253" s="44">
        <v>45016</v>
      </c>
      <c r="Q253" s="43" t="s">
        <v>2119</v>
      </c>
      <c r="R253" s="46">
        <v>45020</v>
      </c>
      <c r="S253" s="45" t="s">
        <v>162</v>
      </c>
      <c r="T253" s="46">
        <v>45026</v>
      </c>
      <c r="U253" s="45">
        <v>39750000</v>
      </c>
      <c r="V253" s="43" t="s">
        <v>2120</v>
      </c>
      <c r="W253" s="44" t="s">
        <v>2121</v>
      </c>
      <c r="X253" s="47">
        <f>39750000+6360000</f>
        <v>46110000</v>
      </c>
      <c r="Y253" s="46">
        <v>45254</v>
      </c>
      <c r="Z253" s="48" t="s">
        <v>109</v>
      </c>
      <c r="AA253" s="48"/>
      <c r="AB253" s="48"/>
      <c r="AC253" s="26"/>
      <c r="AD253" s="48"/>
      <c r="AE253" s="48"/>
      <c r="AF253" s="49">
        <v>45245</v>
      </c>
      <c r="AG253" s="45">
        <v>6360000</v>
      </c>
      <c r="AH253" s="50">
        <f>U253+AG253</f>
        <v>46110000</v>
      </c>
      <c r="AI253" s="48" t="s">
        <v>708</v>
      </c>
      <c r="AJ253" s="48" t="s">
        <v>708</v>
      </c>
      <c r="AK253" s="49">
        <v>45245</v>
      </c>
      <c r="AL253" s="42" t="s">
        <v>2113</v>
      </c>
      <c r="AM253" s="48" t="s">
        <v>708</v>
      </c>
      <c r="AN253" s="48" t="s">
        <v>708</v>
      </c>
      <c r="AO253" s="38"/>
      <c r="AP253" s="38"/>
      <c r="AQ253" s="38"/>
      <c r="AR253" s="38"/>
      <c r="AS253" s="38"/>
      <c r="AT253" s="51"/>
      <c r="AU253" s="52"/>
      <c r="AV253" s="53">
        <v>45291</v>
      </c>
      <c r="AW253" s="41" t="s">
        <v>56</v>
      </c>
      <c r="AX253" s="40" t="s">
        <v>226</v>
      </c>
      <c r="AY253" s="54">
        <v>20235920004203</v>
      </c>
    </row>
    <row r="254" spans="2:51" s="37" customFormat="1" ht="26.25" x14ac:dyDescent="0.25">
      <c r="B254" s="38">
        <v>253</v>
      </c>
      <c r="C254" s="39">
        <v>2023</v>
      </c>
      <c r="D254" s="40" t="s">
        <v>2122</v>
      </c>
      <c r="E254" s="41" t="s">
        <v>324</v>
      </c>
      <c r="F254" s="40" t="s">
        <v>97</v>
      </c>
      <c r="G254" s="40" t="s">
        <v>98</v>
      </c>
      <c r="H254" s="41" t="s">
        <v>2123</v>
      </c>
      <c r="I254" s="25" t="s">
        <v>2124</v>
      </c>
      <c r="J254" s="42" t="s">
        <v>2125</v>
      </c>
      <c r="K254" s="42" t="s">
        <v>2126</v>
      </c>
      <c r="L254" s="26">
        <v>14274149</v>
      </c>
      <c r="M254" s="43" t="s">
        <v>2127</v>
      </c>
      <c r="N254" s="44" t="s">
        <v>2128</v>
      </c>
      <c r="O254" s="45">
        <f>22500000+4200000</f>
        <v>26700000</v>
      </c>
      <c r="P254" s="44">
        <v>45016</v>
      </c>
      <c r="Q254" s="43" t="s">
        <v>2129</v>
      </c>
      <c r="R254" s="46">
        <v>45019</v>
      </c>
      <c r="S254" s="45" t="s">
        <v>162</v>
      </c>
      <c r="T254" s="46">
        <v>45020</v>
      </c>
      <c r="U254" s="45">
        <v>22500000</v>
      </c>
      <c r="V254" s="43" t="s">
        <v>2130</v>
      </c>
      <c r="W254" s="44" t="s">
        <v>2131</v>
      </c>
      <c r="X254" s="47">
        <f>22500000+4200000</f>
        <v>26700000</v>
      </c>
      <c r="Y254" s="46">
        <v>45248</v>
      </c>
      <c r="Z254" s="48" t="s">
        <v>109</v>
      </c>
      <c r="AA254" s="48"/>
      <c r="AB254" s="48"/>
      <c r="AC254" s="26"/>
      <c r="AD254" s="48"/>
      <c r="AE254" s="48"/>
      <c r="AF254" s="49">
        <v>45246</v>
      </c>
      <c r="AG254" s="45">
        <v>4200000</v>
      </c>
      <c r="AH254" s="50">
        <f>U254+AG254</f>
        <v>26700000</v>
      </c>
      <c r="AI254" s="48" t="s">
        <v>708</v>
      </c>
      <c r="AJ254" s="48" t="s">
        <v>708</v>
      </c>
      <c r="AK254" s="49">
        <v>45246</v>
      </c>
      <c r="AL254" s="42" t="s">
        <v>2106</v>
      </c>
      <c r="AM254" s="48" t="s">
        <v>708</v>
      </c>
      <c r="AN254" s="48" t="s">
        <v>708</v>
      </c>
      <c r="AO254" s="38"/>
      <c r="AP254" s="38"/>
      <c r="AQ254" s="38"/>
      <c r="AR254" s="38"/>
      <c r="AS254" s="38"/>
      <c r="AT254" s="51"/>
      <c r="AU254" s="52"/>
      <c r="AV254" s="53">
        <v>45291</v>
      </c>
      <c r="AW254" s="41" t="s">
        <v>56</v>
      </c>
      <c r="AX254" s="40" t="s">
        <v>845</v>
      </c>
      <c r="AY254" s="54">
        <v>20235920004273</v>
      </c>
    </row>
    <row r="255" spans="2:51" s="37" customFormat="1" ht="17.25" customHeight="1" x14ac:dyDescent="0.25">
      <c r="B255" s="38">
        <v>254</v>
      </c>
      <c r="C255" s="39">
        <v>2023</v>
      </c>
      <c r="D255" s="40" t="s">
        <v>2132</v>
      </c>
      <c r="E255" s="41" t="s">
        <v>324</v>
      </c>
      <c r="F255" s="40" t="s">
        <v>97</v>
      </c>
      <c r="G255" s="40" t="s">
        <v>98</v>
      </c>
      <c r="H255" s="41" t="s">
        <v>2133</v>
      </c>
      <c r="I255" s="25" t="s">
        <v>2134</v>
      </c>
      <c r="J255" s="42" t="s">
        <v>2135</v>
      </c>
      <c r="K255" s="42" t="s">
        <v>430</v>
      </c>
      <c r="L255" s="26">
        <v>1032430030</v>
      </c>
      <c r="M255" s="43">
        <v>1116</v>
      </c>
      <c r="N255" s="44">
        <v>45007</v>
      </c>
      <c r="O255" s="45">
        <v>52830000</v>
      </c>
      <c r="P255" s="44">
        <v>45016</v>
      </c>
      <c r="Q255" s="43" t="s">
        <v>2136</v>
      </c>
      <c r="R255" s="46">
        <v>45016</v>
      </c>
      <c r="S255" s="45" t="s">
        <v>162</v>
      </c>
      <c r="T255" s="46">
        <v>45020</v>
      </c>
      <c r="U255" s="45">
        <v>52830000</v>
      </c>
      <c r="V255" s="43">
        <v>1106</v>
      </c>
      <c r="W255" s="44">
        <v>45016</v>
      </c>
      <c r="X255" s="47">
        <v>52830000</v>
      </c>
      <c r="Y255" s="46">
        <v>45248</v>
      </c>
      <c r="Z255" s="48" t="s">
        <v>109</v>
      </c>
      <c r="AA255" s="48"/>
      <c r="AB255" s="48"/>
      <c r="AC255" s="26"/>
      <c r="AD255" s="48"/>
      <c r="AE255" s="48"/>
      <c r="AF255" s="48" t="s">
        <v>708</v>
      </c>
      <c r="AG255" s="45"/>
      <c r="AH255" s="50">
        <f>U255+AG255</f>
        <v>52830000</v>
      </c>
      <c r="AI255" s="48" t="s">
        <v>708</v>
      </c>
      <c r="AJ255" s="48" t="s">
        <v>708</v>
      </c>
      <c r="AK255" s="48" t="s">
        <v>708</v>
      </c>
      <c r="AL255" s="42"/>
      <c r="AM255" s="48" t="s">
        <v>708</v>
      </c>
      <c r="AN255" s="48" t="s">
        <v>708</v>
      </c>
      <c r="AO255" s="38"/>
      <c r="AP255" s="38"/>
      <c r="AQ255" s="38"/>
      <c r="AR255" s="38"/>
      <c r="AS255" s="38"/>
      <c r="AT255" s="51"/>
      <c r="AU255" s="52"/>
      <c r="AV255" s="38" t="s">
        <v>708</v>
      </c>
      <c r="AW255" s="41" t="s">
        <v>56</v>
      </c>
      <c r="AX255" s="40" t="s">
        <v>238</v>
      </c>
      <c r="AY255" s="54">
        <v>20235920004283</v>
      </c>
    </row>
    <row r="256" spans="2:51" s="37" customFormat="1" ht="17.25" customHeight="1" x14ac:dyDescent="0.25">
      <c r="B256" s="38">
        <v>255</v>
      </c>
      <c r="C256" s="39">
        <v>2023</v>
      </c>
      <c r="D256" s="40" t="s">
        <v>2137</v>
      </c>
      <c r="E256" s="41" t="s">
        <v>2010</v>
      </c>
      <c r="F256" s="40" t="s">
        <v>97</v>
      </c>
      <c r="G256" s="40" t="s">
        <v>98</v>
      </c>
      <c r="H256" s="41" t="s">
        <v>2138</v>
      </c>
      <c r="I256" s="25" t="s">
        <v>2139</v>
      </c>
      <c r="J256" s="42" t="s">
        <v>2140</v>
      </c>
      <c r="K256" s="42" t="s">
        <v>2141</v>
      </c>
      <c r="L256" s="26">
        <v>1010199905</v>
      </c>
      <c r="M256" s="43">
        <v>1112</v>
      </c>
      <c r="N256" s="44">
        <v>45007</v>
      </c>
      <c r="O256" s="45">
        <v>27000000</v>
      </c>
      <c r="P256" s="44">
        <v>45029</v>
      </c>
      <c r="Q256" s="43" t="s">
        <v>2142</v>
      </c>
      <c r="R256" s="44">
        <v>45029</v>
      </c>
      <c r="S256" s="45" t="s">
        <v>162</v>
      </c>
      <c r="T256" s="46">
        <v>45034</v>
      </c>
      <c r="U256" s="45">
        <v>27000000</v>
      </c>
      <c r="V256" s="43">
        <v>1120</v>
      </c>
      <c r="W256" s="44">
        <v>45030</v>
      </c>
      <c r="X256" s="47">
        <v>27000000</v>
      </c>
      <c r="Y256" s="46">
        <v>45262</v>
      </c>
      <c r="Z256" s="48" t="s">
        <v>120</v>
      </c>
      <c r="AA256" s="48"/>
      <c r="AB256" s="48"/>
      <c r="AC256" s="26"/>
      <c r="AD256" s="48"/>
      <c r="AE256" s="48"/>
      <c r="AF256" s="48"/>
      <c r="AG256" s="45"/>
      <c r="AH256" s="50">
        <f>U256+AG256</f>
        <v>27000000</v>
      </c>
      <c r="AI256" s="48"/>
      <c r="AJ256" s="48"/>
      <c r="AK256" s="48"/>
      <c r="AL256" s="42"/>
      <c r="AM256" s="48"/>
      <c r="AN256" s="48"/>
      <c r="AO256" s="38"/>
      <c r="AP256" s="38"/>
      <c r="AQ256" s="38"/>
      <c r="AR256" s="38"/>
      <c r="AS256" s="38"/>
      <c r="AT256" s="51"/>
      <c r="AU256" s="52"/>
      <c r="AV256" s="38"/>
      <c r="AW256" s="41" t="s">
        <v>56</v>
      </c>
      <c r="AX256" s="40" t="s">
        <v>566</v>
      </c>
      <c r="AY256" s="54">
        <v>20235920004883</v>
      </c>
    </row>
    <row r="257" spans="2:51" s="37" customFormat="1" ht="17.25" customHeight="1" x14ac:dyDescent="0.25">
      <c r="B257" s="38">
        <v>256</v>
      </c>
      <c r="C257" s="39">
        <v>2023</v>
      </c>
      <c r="D257" s="40" t="s">
        <v>2143</v>
      </c>
      <c r="E257" s="41" t="s">
        <v>324</v>
      </c>
      <c r="F257" s="40" t="s">
        <v>97</v>
      </c>
      <c r="G257" s="40" t="s">
        <v>98</v>
      </c>
      <c r="H257" s="41" t="s">
        <v>2144</v>
      </c>
      <c r="I257" s="25" t="s">
        <v>2145</v>
      </c>
      <c r="J257" s="42" t="s">
        <v>2146</v>
      </c>
      <c r="K257" s="42" t="s">
        <v>2147</v>
      </c>
      <c r="L257" s="26">
        <v>1069749688</v>
      </c>
      <c r="M257" s="43">
        <v>1095</v>
      </c>
      <c r="N257" s="44">
        <v>44993</v>
      </c>
      <c r="O257" s="45">
        <v>60750000</v>
      </c>
      <c r="P257" s="44">
        <v>45020</v>
      </c>
      <c r="Q257" s="43" t="s">
        <v>2148</v>
      </c>
      <c r="R257" s="46">
        <v>45027</v>
      </c>
      <c r="S257" s="45" t="s">
        <v>162</v>
      </c>
      <c r="T257" s="46">
        <v>45027</v>
      </c>
      <c r="U257" s="45">
        <v>20250000</v>
      </c>
      <c r="V257" s="43">
        <v>1113</v>
      </c>
      <c r="W257" s="44">
        <v>45026</v>
      </c>
      <c r="X257" s="47">
        <v>20250000</v>
      </c>
      <c r="Y257" s="46">
        <v>45255</v>
      </c>
      <c r="Z257" s="48" t="s">
        <v>109</v>
      </c>
      <c r="AA257" s="48"/>
      <c r="AB257" s="48"/>
      <c r="AC257" s="26"/>
      <c r="AD257" s="48"/>
      <c r="AE257" s="48"/>
      <c r="AF257" s="48" t="s">
        <v>708</v>
      </c>
      <c r="AG257" s="45"/>
      <c r="AH257" s="50">
        <f>U257+AG257</f>
        <v>20250000</v>
      </c>
      <c r="AI257" s="48" t="s">
        <v>708</v>
      </c>
      <c r="AJ257" s="48" t="s">
        <v>708</v>
      </c>
      <c r="AK257" s="48" t="s">
        <v>708</v>
      </c>
      <c r="AL257" s="42"/>
      <c r="AM257" s="48" t="s">
        <v>708</v>
      </c>
      <c r="AN257" s="48" t="s">
        <v>708</v>
      </c>
      <c r="AO257" s="38"/>
      <c r="AP257" s="38"/>
      <c r="AQ257" s="38"/>
      <c r="AR257" s="38"/>
      <c r="AS257" s="38"/>
      <c r="AT257" s="51"/>
      <c r="AU257" s="52"/>
      <c r="AV257" s="38" t="s">
        <v>708</v>
      </c>
      <c r="AW257" s="41" t="s">
        <v>56</v>
      </c>
      <c r="AX257" s="40" t="s">
        <v>566</v>
      </c>
      <c r="AY257" s="54">
        <v>20235920004333</v>
      </c>
    </row>
    <row r="258" spans="2:51" s="37" customFormat="1" ht="26.25" x14ac:dyDescent="0.25">
      <c r="B258" s="38">
        <v>257</v>
      </c>
      <c r="C258" s="39">
        <v>2023</v>
      </c>
      <c r="D258" s="40" t="s">
        <v>2149</v>
      </c>
      <c r="E258" s="41" t="s">
        <v>324</v>
      </c>
      <c r="F258" s="40" t="s">
        <v>97</v>
      </c>
      <c r="G258" s="40" t="s">
        <v>98</v>
      </c>
      <c r="H258" s="41" t="s">
        <v>2150</v>
      </c>
      <c r="I258" s="25" t="s">
        <v>2151</v>
      </c>
      <c r="J258" s="42" t="s">
        <v>1757</v>
      </c>
      <c r="K258" s="42" t="s">
        <v>2152</v>
      </c>
      <c r="L258" s="26">
        <v>1075298433</v>
      </c>
      <c r="M258" s="43" t="s">
        <v>2153</v>
      </c>
      <c r="N258" s="44" t="s">
        <v>1985</v>
      </c>
      <c r="O258" s="45">
        <f>60750000+3150000</f>
        <v>63900000</v>
      </c>
      <c r="P258" s="44">
        <v>45020</v>
      </c>
      <c r="Q258" s="43" t="s">
        <v>2154</v>
      </c>
      <c r="R258" s="46">
        <v>45021</v>
      </c>
      <c r="S258" s="45" t="s">
        <v>162</v>
      </c>
      <c r="T258" s="46">
        <v>45027</v>
      </c>
      <c r="U258" s="45">
        <v>20250000</v>
      </c>
      <c r="V258" s="43">
        <v>1114</v>
      </c>
      <c r="W258" s="44">
        <v>45026</v>
      </c>
      <c r="X258" s="47">
        <v>20250000</v>
      </c>
      <c r="Y258" s="46">
        <v>45255</v>
      </c>
      <c r="Z258" s="48" t="s">
        <v>109</v>
      </c>
      <c r="AA258" s="48"/>
      <c r="AB258" s="48"/>
      <c r="AC258" s="26"/>
      <c r="AD258" s="48"/>
      <c r="AE258" s="48"/>
      <c r="AF258" s="48" t="s">
        <v>708</v>
      </c>
      <c r="AG258" s="45"/>
      <c r="AH258" s="50">
        <f>U258+AG258</f>
        <v>20250000</v>
      </c>
      <c r="AI258" s="48" t="s">
        <v>708</v>
      </c>
      <c r="AJ258" s="48" t="s">
        <v>708</v>
      </c>
      <c r="AK258" s="48" t="s">
        <v>708</v>
      </c>
      <c r="AL258" s="42"/>
      <c r="AM258" s="48" t="s">
        <v>708</v>
      </c>
      <c r="AN258" s="48" t="s">
        <v>708</v>
      </c>
      <c r="AO258" s="38"/>
      <c r="AP258" s="38"/>
      <c r="AQ258" s="38"/>
      <c r="AR258" s="38"/>
      <c r="AS258" s="38"/>
      <c r="AT258" s="51"/>
      <c r="AU258" s="52"/>
      <c r="AV258" s="38" t="s">
        <v>708</v>
      </c>
      <c r="AW258" s="41" t="s">
        <v>56</v>
      </c>
      <c r="AX258" s="40" t="s">
        <v>566</v>
      </c>
      <c r="AY258" s="54">
        <v>20235920004333</v>
      </c>
    </row>
    <row r="259" spans="2:51" s="37" customFormat="1" ht="26.25" x14ac:dyDescent="0.25">
      <c r="B259" s="38">
        <v>258</v>
      </c>
      <c r="C259" s="39">
        <v>2023</v>
      </c>
      <c r="D259" s="40" t="s">
        <v>2155</v>
      </c>
      <c r="E259" s="41" t="s">
        <v>199</v>
      </c>
      <c r="F259" s="40" t="s">
        <v>97</v>
      </c>
      <c r="G259" s="40" t="s">
        <v>98</v>
      </c>
      <c r="H259" s="41" t="s">
        <v>2156</v>
      </c>
      <c r="I259" s="25" t="s">
        <v>2157</v>
      </c>
      <c r="J259" s="42" t="s">
        <v>563</v>
      </c>
      <c r="K259" s="42" t="s">
        <v>2158</v>
      </c>
      <c r="L259" s="26">
        <v>1032498726</v>
      </c>
      <c r="M259" s="43" t="s">
        <v>2159</v>
      </c>
      <c r="N259" s="44" t="s">
        <v>2085</v>
      </c>
      <c r="O259" s="45">
        <f>33900000+5424000</f>
        <v>39324000</v>
      </c>
      <c r="P259" s="44">
        <v>45020</v>
      </c>
      <c r="Q259" s="43" t="s">
        <v>2160</v>
      </c>
      <c r="R259" s="46">
        <v>45021</v>
      </c>
      <c r="S259" s="45" t="s">
        <v>162</v>
      </c>
      <c r="T259" s="46">
        <v>45026</v>
      </c>
      <c r="U259" s="45">
        <v>33900000</v>
      </c>
      <c r="V259" s="43">
        <v>1112</v>
      </c>
      <c r="W259" s="44">
        <v>45026</v>
      </c>
      <c r="X259" s="47">
        <v>33900000</v>
      </c>
      <c r="Y259" s="46">
        <v>45254</v>
      </c>
      <c r="Z259" s="48" t="s">
        <v>109</v>
      </c>
      <c r="AA259" s="48"/>
      <c r="AB259" s="48"/>
      <c r="AC259" s="26"/>
      <c r="AD259" s="48"/>
      <c r="AE259" s="48"/>
      <c r="AF259" s="48" t="s">
        <v>708</v>
      </c>
      <c r="AG259" s="45"/>
      <c r="AH259" s="50">
        <f>U259+AG259</f>
        <v>33900000</v>
      </c>
      <c r="AI259" s="48" t="s">
        <v>708</v>
      </c>
      <c r="AJ259" s="48" t="s">
        <v>708</v>
      </c>
      <c r="AK259" s="48" t="s">
        <v>708</v>
      </c>
      <c r="AL259" s="42"/>
      <c r="AM259" s="48" t="s">
        <v>708</v>
      </c>
      <c r="AN259" s="48" t="s">
        <v>708</v>
      </c>
      <c r="AO259" s="38"/>
      <c r="AP259" s="38"/>
      <c r="AQ259" s="38"/>
      <c r="AR259" s="38"/>
      <c r="AS259" s="38"/>
      <c r="AT259" s="51"/>
      <c r="AU259" s="52"/>
      <c r="AV259" s="38" t="s">
        <v>708</v>
      </c>
      <c r="AW259" s="41" t="s">
        <v>56</v>
      </c>
      <c r="AX259" s="40" t="s">
        <v>566</v>
      </c>
      <c r="AY259" s="54">
        <v>20235920004673</v>
      </c>
    </row>
    <row r="260" spans="2:51" s="37" customFormat="1" ht="26.25" x14ac:dyDescent="0.25">
      <c r="B260" s="38">
        <v>259</v>
      </c>
      <c r="C260" s="39">
        <v>2023</v>
      </c>
      <c r="D260" s="40" t="s">
        <v>2161</v>
      </c>
      <c r="E260" s="41" t="s">
        <v>199</v>
      </c>
      <c r="F260" s="40" t="s">
        <v>97</v>
      </c>
      <c r="G260" s="40" t="s">
        <v>98</v>
      </c>
      <c r="H260" s="41" t="s">
        <v>2162</v>
      </c>
      <c r="I260" s="25" t="s">
        <v>2163</v>
      </c>
      <c r="J260" s="42" t="s">
        <v>2164</v>
      </c>
      <c r="K260" s="42" t="s">
        <v>2165</v>
      </c>
      <c r="L260" s="26">
        <v>1016075490</v>
      </c>
      <c r="M260" s="43" t="s">
        <v>2166</v>
      </c>
      <c r="N260" s="44" t="s">
        <v>2094</v>
      </c>
      <c r="O260" s="45">
        <f>37500000+2833333</f>
        <v>40333333</v>
      </c>
      <c r="P260" s="44">
        <v>45026</v>
      </c>
      <c r="Q260" s="43" t="s">
        <v>2167</v>
      </c>
      <c r="R260" s="46">
        <v>45028</v>
      </c>
      <c r="S260" s="45" t="s">
        <v>162</v>
      </c>
      <c r="T260" s="46">
        <v>45028</v>
      </c>
      <c r="U260" s="45">
        <v>18750000</v>
      </c>
      <c r="V260" s="43">
        <v>1115</v>
      </c>
      <c r="W260" s="44">
        <v>45026</v>
      </c>
      <c r="X260" s="47">
        <v>18750000</v>
      </c>
      <c r="Y260" s="46">
        <v>45256</v>
      </c>
      <c r="Z260" s="48" t="s">
        <v>109</v>
      </c>
      <c r="AA260" s="48"/>
      <c r="AB260" s="48"/>
      <c r="AC260" s="26"/>
      <c r="AD260" s="48"/>
      <c r="AE260" s="48"/>
      <c r="AF260" s="49">
        <v>45246</v>
      </c>
      <c r="AG260" s="45"/>
      <c r="AH260" s="50">
        <f>U260+AG260</f>
        <v>18750000</v>
      </c>
      <c r="AI260" s="48" t="s">
        <v>708</v>
      </c>
      <c r="AJ260" s="48" t="s">
        <v>708</v>
      </c>
      <c r="AK260" s="49">
        <v>45246</v>
      </c>
      <c r="AL260" s="42"/>
      <c r="AM260" s="48" t="s">
        <v>708</v>
      </c>
      <c r="AN260" s="48" t="s">
        <v>708</v>
      </c>
      <c r="AO260" s="38"/>
      <c r="AP260" s="38"/>
      <c r="AQ260" s="38"/>
      <c r="AR260" s="38"/>
      <c r="AS260" s="38"/>
      <c r="AT260" s="51"/>
      <c r="AU260" s="52"/>
      <c r="AV260" s="38" t="s">
        <v>708</v>
      </c>
      <c r="AW260" s="41" t="s">
        <v>56</v>
      </c>
      <c r="AX260" s="40" t="s">
        <v>845</v>
      </c>
      <c r="AY260" s="54">
        <v>20235920004683</v>
      </c>
    </row>
    <row r="261" spans="2:51" s="37" customFormat="1" ht="26.25" x14ac:dyDescent="0.25">
      <c r="B261" s="38">
        <v>260</v>
      </c>
      <c r="C261" s="39">
        <v>2023</v>
      </c>
      <c r="D261" s="40" t="s">
        <v>2168</v>
      </c>
      <c r="E261" s="41" t="s">
        <v>199</v>
      </c>
      <c r="F261" s="40" t="s">
        <v>97</v>
      </c>
      <c r="G261" s="40" t="s">
        <v>98</v>
      </c>
      <c r="H261" s="41" t="s">
        <v>2169</v>
      </c>
      <c r="I261" s="25" t="s">
        <v>2170</v>
      </c>
      <c r="J261" s="42" t="s">
        <v>2171</v>
      </c>
      <c r="K261" s="42" t="s">
        <v>2172</v>
      </c>
      <c r="L261" s="26">
        <v>80387023</v>
      </c>
      <c r="M261" s="43" t="s">
        <v>2173</v>
      </c>
      <c r="N261" s="44" t="s">
        <v>2094</v>
      </c>
      <c r="O261" s="45">
        <f>27000000+3960000</f>
        <v>30960000</v>
      </c>
      <c r="P261" s="44">
        <v>45028</v>
      </c>
      <c r="Q261" s="43" t="s">
        <v>2174</v>
      </c>
      <c r="R261" s="46">
        <v>45029</v>
      </c>
      <c r="S261" s="45" t="s">
        <v>162</v>
      </c>
      <c r="T261" s="46">
        <v>45029</v>
      </c>
      <c r="U261" s="45">
        <v>27000000</v>
      </c>
      <c r="V261" s="43" t="s">
        <v>2175</v>
      </c>
      <c r="W261" s="44" t="s">
        <v>2176</v>
      </c>
      <c r="X261" s="47">
        <f>27000000+3960000</f>
        <v>30960000</v>
      </c>
      <c r="Y261" s="46">
        <v>45257</v>
      </c>
      <c r="Z261" s="48" t="s">
        <v>109</v>
      </c>
      <c r="AA261" s="48"/>
      <c r="AB261" s="48"/>
      <c r="AC261" s="26"/>
      <c r="AD261" s="48"/>
      <c r="AE261" s="48"/>
      <c r="AF261" s="49">
        <v>45246</v>
      </c>
      <c r="AG261" s="45">
        <v>3960000</v>
      </c>
      <c r="AH261" s="50">
        <f>U261+AG261</f>
        <v>30960000</v>
      </c>
      <c r="AI261" s="48" t="s">
        <v>708</v>
      </c>
      <c r="AJ261" s="48" t="s">
        <v>708</v>
      </c>
      <c r="AK261" s="49">
        <v>45246</v>
      </c>
      <c r="AL261" s="42" t="s">
        <v>2177</v>
      </c>
      <c r="AM261" s="48"/>
      <c r="AN261" s="48"/>
      <c r="AO261" s="38"/>
      <c r="AP261" s="38"/>
      <c r="AQ261" s="38"/>
      <c r="AR261" s="38"/>
      <c r="AS261" s="38"/>
      <c r="AT261" s="51"/>
      <c r="AU261" s="52"/>
      <c r="AV261" s="53">
        <v>45291</v>
      </c>
      <c r="AW261" s="41" t="s">
        <v>56</v>
      </c>
      <c r="AX261" s="40" t="s">
        <v>845</v>
      </c>
      <c r="AY261" s="54">
        <v>20235920004663</v>
      </c>
    </row>
    <row r="262" spans="2:51" s="37" customFormat="1" ht="25.5" customHeight="1" x14ac:dyDescent="0.25">
      <c r="B262" s="38">
        <v>261</v>
      </c>
      <c r="C262" s="39">
        <v>2023</v>
      </c>
      <c r="D262" s="40" t="s">
        <v>2178</v>
      </c>
      <c r="E262" s="41" t="s">
        <v>96</v>
      </c>
      <c r="F262" s="40" t="s">
        <v>97</v>
      </c>
      <c r="G262" s="40" t="s">
        <v>98</v>
      </c>
      <c r="H262" s="41" t="s">
        <v>2179</v>
      </c>
      <c r="I262" s="25" t="s">
        <v>2180</v>
      </c>
      <c r="J262" s="42" t="s">
        <v>2057</v>
      </c>
      <c r="K262" s="42" t="s">
        <v>2181</v>
      </c>
      <c r="L262" s="26">
        <v>1023964501</v>
      </c>
      <c r="M262" s="43" t="s">
        <v>2182</v>
      </c>
      <c r="N262" s="44" t="s">
        <v>2183</v>
      </c>
      <c r="O262" s="45">
        <f>81000000+3060000</f>
        <v>84060000</v>
      </c>
      <c r="P262" s="44">
        <v>45021</v>
      </c>
      <c r="Q262" s="43" t="s">
        <v>2184</v>
      </c>
      <c r="R262" s="46">
        <v>45027</v>
      </c>
      <c r="S262" s="45" t="s">
        <v>162</v>
      </c>
      <c r="T262" s="46">
        <v>45028</v>
      </c>
      <c r="U262" s="45">
        <v>20250000</v>
      </c>
      <c r="V262" s="43" t="s">
        <v>2185</v>
      </c>
      <c r="W262" s="44" t="s">
        <v>2186</v>
      </c>
      <c r="X262" s="47">
        <f>20250000+3060000</f>
        <v>23310000</v>
      </c>
      <c r="Y262" s="46">
        <v>45256</v>
      </c>
      <c r="Z262" s="48" t="s">
        <v>109</v>
      </c>
      <c r="AA262" s="48"/>
      <c r="AB262" s="48"/>
      <c r="AC262" s="26"/>
      <c r="AD262" s="48"/>
      <c r="AE262" s="48"/>
      <c r="AF262" s="49">
        <v>45246</v>
      </c>
      <c r="AG262" s="45">
        <v>3060000</v>
      </c>
      <c r="AH262" s="50">
        <f>U262+AG262</f>
        <v>23310000</v>
      </c>
      <c r="AI262" s="48" t="s">
        <v>708</v>
      </c>
      <c r="AJ262" s="48" t="s">
        <v>708</v>
      </c>
      <c r="AK262" s="49">
        <v>45246</v>
      </c>
      <c r="AL262" s="42" t="s">
        <v>2187</v>
      </c>
      <c r="AM262" s="48"/>
      <c r="AN262" s="48"/>
      <c r="AO262" s="38"/>
      <c r="AP262" s="38"/>
      <c r="AQ262" s="38"/>
      <c r="AR262" s="38"/>
      <c r="AS262" s="38"/>
      <c r="AT262" s="51"/>
      <c r="AU262" s="52"/>
      <c r="AV262" s="53">
        <v>45291</v>
      </c>
      <c r="AW262" s="41" t="s">
        <v>56</v>
      </c>
      <c r="AX262" s="40" t="s">
        <v>1179</v>
      </c>
      <c r="AY262" s="54">
        <v>20235920004973</v>
      </c>
    </row>
    <row r="263" spans="2:51" s="37" customFormat="1" ht="17.25" customHeight="1" x14ac:dyDescent="0.25">
      <c r="B263" s="38">
        <v>262</v>
      </c>
      <c r="C263" s="39">
        <v>2023</v>
      </c>
      <c r="D263" s="40" t="s">
        <v>2188</v>
      </c>
      <c r="E263" s="41" t="s">
        <v>96</v>
      </c>
      <c r="F263" s="40" t="s">
        <v>97</v>
      </c>
      <c r="G263" s="40" t="s">
        <v>98</v>
      </c>
      <c r="H263" s="41" t="s">
        <v>2189</v>
      </c>
      <c r="I263" s="25" t="s">
        <v>2190</v>
      </c>
      <c r="J263" s="42" t="s">
        <v>1592</v>
      </c>
      <c r="K263" s="42" t="s">
        <v>2191</v>
      </c>
      <c r="L263" s="26">
        <v>1014301949</v>
      </c>
      <c r="M263" s="43">
        <v>1119</v>
      </c>
      <c r="N263" s="44">
        <v>45013</v>
      </c>
      <c r="O263" s="45">
        <v>14100000</v>
      </c>
      <c r="P263" s="44">
        <v>45037</v>
      </c>
      <c r="Q263" s="43" t="s">
        <v>2192</v>
      </c>
      <c r="R263" s="46">
        <v>45049</v>
      </c>
      <c r="S263" s="45" t="s">
        <v>162</v>
      </c>
      <c r="T263" s="46">
        <v>45050</v>
      </c>
      <c r="U263" s="45">
        <v>14100000</v>
      </c>
      <c r="V263" s="43">
        <v>1131</v>
      </c>
      <c r="W263" s="44">
        <v>45040</v>
      </c>
      <c r="X263" s="47">
        <v>14100000</v>
      </c>
      <c r="Y263" s="46">
        <v>45278</v>
      </c>
      <c r="Z263" s="48" t="s">
        <v>120</v>
      </c>
      <c r="AA263" s="48"/>
      <c r="AB263" s="48"/>
      <c r="AC263" s="26"/>
      <c r="AD263" s="48"/>
      <c r="AE263" s="48"/>
      <c r="AF263" s="48"/>
      <c r="AG263" s="45"/>
      <c r="AH263" s="50">
        <f>U263+AG263</f>
        <v>14100000</v>
      </c>
      <c r="AI263" s="48"/>
      <c r="AJ263" s="48"/>
      <c r="AK263" s="48"/>
      <c r="AL263" s="42"/>
      <c r="AM263" s="48"/>
      <c r="AN263" s="48"/>
      <c r="AO263" s="38"/>
      <c r="AP263" s="38"/>
      <c r="AQ263" s="38"/>
      <c r="AR263" s="38"/>
      <c r="AS263" s="38"/>
      <c r="AT263" s="51"/>
      <c r="AU263" s="52"/>
      <c r="AV263" s="38"/>
      <c r="AW263" s="41" t="s">
        <v>56</v>
      </c>
      <c r="AX263" s="40" t="s">
        <v>566</v>
      </c>
      <c r="AY263" s="54">
        <v>20235920005433</v>
      </c>
    </row>
    <row r="264" spans="2:51" s="37" customFormat="1" ht="17.25" customHeight="1" x14ac:dyDescent="0.25">
      <c r="B264" s="38">
        <v>263</v>
      </c>
      <c r="C264" s="39">
        <v>2023</v>
      </c>
      <c r="D264" s="40" t="s">
        <v>2193</v>
      </c>
      <c r="E264" s="41" t="s">
        <v>199</v>
      </c>
      <c r="F264" s="40" t="s">
        <v>97</v>
      </c>
      <c r="G264" s="40" t="s">
        <v>98</v>
      </c>
      <c r="H264" s="41" t="s">
        <v>2194</v>
      </c>
      <c r="I264" s="25" t="s">
        <v>2195</v>
      </c>
      <c r="J264" s="42" t="s">
        <v>2196</v>
      </c>
      <c r="K264" s="42" t="s">
        <v>1861</v>
      </c>
      <c r="L264" s="26">
        <v>65701543</v>
      </c>
      <c r="M264" s="43">
        <v>1127</v>
      </c>
      <c r="N264" s="44">
        <v>45016</v>
      </c>
      <c r="O264" s="45">
        <v>90000000</v>
      </c>
      <c r="P264" s="44">
        <v>45028</v>
      </c>
      <c r="Q264" s="43" t="s">
        <v>2197</v>
      </c>
      <c r="R264" s="46">
        <v>45029</v>
      </c>
      <c r="S264" s="45" t="s">
        <v>162</v>
      </c>
      <c r="T264" s="46">
        <v>45029</v>
      </c>
      <c r="U264" s="45">
        <v>45000000</v>
      </c>
      <c r="V264" s="43">
        <v>1119</v>
      </c>
      <c r="W264" s="44">
        <v>45028</v>
      </c>
      <c r="X264" s="47">
        <v>45000000</v>
      </c>
      <c r="Y264" s="46">
        <v>45257</v>
      </c>
      <c r="Z264" s="48" t="s">
        <v>120</v>
      </c>
      <c r="AA264" s="48"/>
      <c r="AB264" s="48"/>
      <c r="AC264" s="26"/>
      <c r="AD264" s="48"/>
      <c r="AE264" s="48"/>
      <c r="AF264" s="48"/>
      <c r="AG264" s="45"/>
      <c r="AH264" s="50">
        <f>U264+AG264</f>
        <v>45000000</v>
      </c>
      <c r="AI264" s="48"/>
      <c r="AJ264" s="48"/>
      <c r="AK264" s="48"/>
      <c r="AL264" s="42"/>
      <c r="AM264" s="48"/>
      <c r="AN264" s="48"/>
      <c r="AO264" s="38"/>
      <c r="AP264" s="38"/>
      <c r="AQ264" s="38"/>
      <c r="AR264" s="38"/>
      <c r="AS264" s="38"/>
      <c r="AT264" s="51"/>
      <c r="AU264" s="52"/>
      <c r="AV264" s="38"/>
      <c r="AW264" s="41" t="s">
        <v>56</v>
      </c>
      <c r="AX264" s="40" t="s">
        <v>1718</v>
      </c>
      <c r="AY264" s="54">
        <v>20235920004803</v>
      </c>
    </row>
    <row r="265" spans="2:51" s="37" customFormat="1" ht="17.25" customHeight="1" x14ac:dyDescent="0.25">
      <c r="B265" s="38">
        <v>264</v>
      </c>
      <c r="C265" s="39">
        <v>2023</v>
      </c>
      <c r="D265" s="40" t="s">
        <v>2198</v>
      </c>
      <c r="E265" s="41" t="s">
        <v>199</v>
      </c>
      <c r="F265" s="40" t="s">
        <v>97</v>
      </c>
      <c r="G265" s="40" t="s">
        <v>98</v>
      </c>
      <c r="H265" s="41" t="s">
        <v>2199</v>
      </c>
      <c r="I265" s="25" t="s">
        <v>2200</v>
      </c>
      <c r="J265" s="42" t="s">
        <v>1347</v>
      </c>
      <c r="K265" s="42" t="s">
        <v>2201</v>
      </c>
      <c r="L265" s="26">
        <v>79042480</v>
      </c>
      <c r="M265" s="43">
        <v>1124</v>
      </c>
      <c r="N265" s="44">
        <v>45016</v>
      </c>
      <c r="O265" s="45">
        <v>37500000</v>
      </c>
      <c r="P265" s="44">
        <v>45029</v>
      </c>
      <c r="Q265" s="43" t="s">
        <v>2202</v>
      </c>
      <c r="R265" s="46">
        <v>45033</v>
      </c>
      <c r="S265" s="45" t="s">
        <v>162</v>
      </c>
      <c r="T265" s="46">
        <v>45033</v>
      </c>
      <c r="U265" s="45">
        <v>18750000</v>
      </c>
      <c r="V265" s="43">
        <v>1121</v>
      </c>
      <c r="W265" s="44">
        <v>45030</v>
      </c>
      <c r="X265" s="47">
        <v>18750000</v>
      </c>
      <c r="Y265" s="46">
        <v>45261</v>
      </c>
      <c r="Z265" s="48" t="s">
        <v>120</v>
      </c>
      <c r="AA265" s="48"/>
      <c r="AB265" s="48"/>
      <c r="AC265" s="26"/>
      <c r="AD265" s="48"/>
      <c r="AE265" s="48"/>
      <c r="AF265" s="48"/>
      <c r="AG265" s="45"/>
      <c r="AH265" s="50">
        <f>U265+AG265</f>
        <v>18750000</v>
      </c>
      <c r="AI265" s="48"/>
      <c r="AJ265" s="48"/>
      <c r="AK265" s="48"/>
      <c r="AL265" s="42"/>
      <c r="AM265" s="48"/>
      <c r="AN265" s="48"/>
      <c r="AO265" s="38"/>
      <c r="AP265" s="38"/>
      <c r="AQ265" s="38"/>
      <c r="AR265" s="38"/>
      <c r="AS265" s="38"/>
      <c r="AT265" s="51"/>
      <c r="AU265" s="52"/>
      <c r="AV265" s="38"/>
      <c r="AW265" s="41" t="s">
        <v>56</v>
      </c>
      <c r="AX265" s="40" t="s">
        <v>845</v>
      </c>
      <c r="AY265" s="54">
        <v>20235920004663</v>
      </c>
    </row>
    <row r="266" spans="2:51" s="37" customFormat="1" ht="17.25" customHeight="1" x14ac:dyDescent="0.25">
      <c r="B266" s="38">
        <v>265</v>
      </c>
      <c r="C266" s="39">
        <v>2023</v>
      </c>
      <c r="D266" s="40" t="s">
        <v>2203</v>
      </c>
      <c r="E266" s="41" t="s">
        <v>324</v>
      </c>
      <c r="F266" s="40" t="s">
        <v>97</v>
      </c>
      <c r="G266" s="40" t="s">
        <v>98</v>
      </c>
      <c r="H266" s="41" t="s">
        <v>2204</v>
      </c>
      <c r="I266" s="25" t="s">
        <v>2205</v>
      </c>
      <c r="J266" s="42" t="s">
        <v>1429</v>
      </c>
      <c r="K266" s="42" t="s">
        <v>2206</v>
      </c>
      <c r="L266" s="26">
        <v>1030660658</v>
      </c>
      <c r="M266" s="43">
        <v>1107</v>
      </c>
      <c r="N266" s="44">
        <v>45007</v>
      </c>
      <c r="O266" s="45">
        <v>31598000</v>
      </c>
      <c r="P266" s="44">
        <v>45030</v>
      </c>
      <c r="Q266" s="43" t="s">
        <v>2207</v>
      </c>
      <c r="R266" s="46">
        <v>45034</v>
      </c>
      <c r="S266" s="45" t="s">
        <v>1573</v>
      </c>
      <c r="T266" s="46">
        <v>45035</v>
      </c>
      <c r="U266" s="45">
        <v>31598000</v>
      </c>
      <c r="V266" s="43">
        <v>1122</v>
      </c>
      <c r="W266" s="44">
        <v>45033</v>
      </c>
      <c r="X266" s="47">
        <v>31598000</v>
      </c>
      <c r="Y266" s="46">
        <v>45248</v>
      </c>
      <c r="Z266" s="48" t="s">
        <v>120</v>
      </c>
      <c r="AA266" s="48"/>
      <c r="AB266" s="48"/>
      <c r="AC266" s="26"/>
      <c r="AD266" s="48"/>
      <c r="AE266" s="48"/>
      <c r="AF266" s="48"/>
      <c r="AG266" s="45"/>
      <c r="AH266" s="50">
        <f>U266+AG266</f>
        <v>31598000</v>
      </c>
      <c r="AI266" s="48"/>
      <c r="AJ266" s="48"/>
      <c r="AK266" s="48"/>
      <c r="AL266" s="42"/>
      <c r="AM266" s="48"/>
      <c r="AN266" s="48"/>
      <c r="AO266" s="38"/>
      <c r="AP266" s="38"/>
      <c r="AQ266" s="38"/>
      <c r="AR266" s="38"/>
      <c r="AS266" s="38"/>
      <c r="AT266" s="51"/>
      <c r="AU266" s="52"/>
      <c r="AV266" s="38"/>
      <c r="AW266" s="41" t="s">
        <v>56</v>
      </c>
      <c r="AX266" s="40" t="s">
        <v>699</v>
      </c>
      <c r="AY266" s="54">
        <v>20235920007323</v>
      </c>
    </row>
    <row r="267" spans="2:51" s="37" customFormat="1" ht="17.25" customHeight="1" x14ac:dyDescent="0.25">
      <c r="B267" s="38">
        <v>266</v>
      </c>
      <c r="C267" s="39">
        <v>2023</v>
      </c>
      <c r="D267" s="40" t="s">
        <v>2208</v>
      </c>
      <c r="E267" s="41" t="s">
        <v>199</v>
      </c>
      <c r="F267" s="40" t="s">
        <v>97</v>
      </c>
      <c r="G267" s="40" t="s">
        <v>98</v>
      </c>
      <c r="H267" s="41" t="s">
        <v>2209</v>
      </c>
      <c r="I267" s="25" t="s">
        <v>2210</v>
      </c>
      <c r="J267" s="42" t="s">
        <v>2196</v>
      </c>
      <c r="K267" s="42" t="s">
        <v>2211</v>
      </c>
      <c r="L267" s="26">
        <v>1016063470</v>
      </c>
      <c r="M267" s="43">
        <v>1127</v>
      </c>
      <c r="N267" s="44">
        <v>45016</v>
      </c>
      <c r="O267" s="45">
        <v>90000000</v>
      </c>
      <c r="P267" s="44">
        <v>45033</v>
      </c>
      <c r="Q267" s="43" t="s">
        <v>2212</v>
      </c>
      <c r="R267" s="46">
        <v>45034</v>
      </c>
      <c r="S267" s="45" t="s">
        <v>162</v>
      </c>
      <c r="T267" s="46">
        <v>45034</v>
      </c>
      <c r="U267" s="45">
        <v>45000000</v>
      </c>
      <c r="V267" s="43">
        <v>1123</v>
      </c>
      <c r="W267" s="44">
        <v>45034</v>
      </c>
      <c r="X267" s="47">
        <v>45000000</v>
      </c>
      <c r="Y267" s="46">
        <v>45262</v>
      </c>
      <c r="Z267" s="48" t="s">
        <v>120</v>
      </c>
      <c r="AA267" s="48"/>
      <c r="AB267" s="48"/>
      <c r="AC267" s="26"/>
      <c r="AD267" s="48"/>
      <c r="AE267" s="48"/>
      <c r="AF267" s="48"/>
      <c r="AG267" s="45"/>
      <c r="AH267" s="50">
        <f>U267+AG267</f>
        <v>45000000</v>
      </c>
      <c r="AI267" s="48"/>
      <c r="AJ267" s="48"/>
      <c r="AK267" s="48"/>
      <c r="AL267" s="42"/>
      <c r="AM267" s="48"/>
      <c r="AN267" s="48"/>
      <c r="AO267" s="38"/>
      <c r="AP267" s="38"/>
      <c r="AQ267" s="38"/>
      <c r="AR267" s="38"/>
      <c r="AS267" s="38"/>
      <c r="AT267" s="51"/>
      <c r="AU267" s="52"/>
      <c r="AV267" s="38"/>
      <c r="AW267" s="41" t="s">
        <v>56</v>
      </c>
      <c r="AX267" s="40" t="s">
        <v>1718</v>
      </c>
      <c r="AY267" s="54">
        <v>20235920004803</v>
      </c>
    </row>
    <row r="268" spans="2:51" s="37" customFormat="1" ht="16.5" customHeight="1" x14ac:dyDescent="0.25">
      <c r="B268" s="38">
        <v>267</v>
      </c>
      <c r="C268" s="39">
        <v>2023</v>
      </c>
      <c r="D268" s="40" t="s">
        <v>2213</v>
      </c>
      <c r="E268" s="41" t="s">
        <v>96</v>
      </c>
      <c r="F268" s="40" t="s">
        <v>97</v>
      </c>
      <c r="G268" s="40" t="s">
        <v>98</v>
      </c>
      <c r="H268" s="41" t="s">
        <v>2214</v>
      </c>
      <c r="I268" s="25" t="s">
        <v>2215</v>
      </c>
      <c r="J268" s="42" t="s">
        <v>2216</v>
      </c>
      <c r="K268" s="42" t="s">
        <v>2217</v>
      </c>
      <c r="L268" s="26">
        <v>34678272</v>
      </c>
      <c r="M268" s="43">
        <v>1125</v>
      </c>
      <c r="N268" s="44">
        <v>45016</v>
      </c>
      <c r="O268" s="45">
        <v>38722500</v>
      </c>
      <c r="P268" s="44">
        <v>45036</v>
      </c>
      <c r="Q268" s="43" t="s">
        <v>2218</v>
      </c>
      <c r="R268" s="46">
        <v>45040</v>
      </c>
      <c r="S268" s="45" t="s">
        <v>162</v>
      </c>
      <c r="T268" s="46">
        <v>45041</v>
      </c>
      <c r="U268" s="45">
        <v>38722500</v>
      </c>
      <c r="V268" s="43">
        <v>1130</v>
      </c>
      <c r="W268" s="44">
        <v>45040</v>
      </c>
      <c r="X268" s="47">
        <v>38722500</v>
      </c>
      <c r="Y268" s="46">
        <v>45269</v>
      </c>
      <c r="Z268" s="48" t="s">
        <v>120</v>
      </c>
      <c r="AA268" s="48"/>
      <c r="AB268" s="48"/>
      <c r="AC268" s="26"/>
      <c r="AD268" s="48"/>
      <c r="AE268" s="48"/>
      <c r="AF268" s="48"/>
      <c r="AG268" s="45"/>
      <c r="AH268" s="50">
        <f>U268+AG268</f>
        <v>38722500</v>
      </c>
      <c r="AI268" s="48"/>
      <c r="AJ268" s="48"/>
      <c r="AK268" s="48"/>
      <c r="AL268" s="42"/>
      <c r="AM268" s="48"/>
      <c r="AN268" s="48"/>
      <c r="AO268" s="38"/>
      <c r="AP268" s="38"/>
      <c r="AQ268" s="38"/>
      <c r="AR268" s="38"/>
      <c r="AS268" s="38"/>
      <c r="AT268" s="51"/>
      <c r="AU268" s="52"/>
      <c r="AV268" s="38"/>
      <c r="AW268" s="41" t="s">
        <v>56</v>
      </c>
      <c r="AX268" s="40" t="s">
        <v>145</v>
      </c>
      <c r="AY268" s="54">
        <v>20235920005103</v>
      </c>
    </row>
    <row r="269" spans="2:51" s="37" customFormat="1" ht="17.25" customHeight="1" x14ac:dyDescent="0.25">
      <c r="B269" s="38">
        <v>268</v>
      </c>
      <c r="C269" s="39">
        <v>2023</v>
      </c>
      <c r="D269" s="40" t="s">
        <v>2219</v>
      </c>
      <c r="E269" s="41" t="s">
        <v>2010</v>
      </c>
      <c r="F269" s="40" t="s">
        <v>97</v>
      </c>
      <c r="G269" s="40" t="s">
        <v>98</v>
      </c>
      <c r="H269" s="41" t="s">
        <v>2220</v>
      </c>
      <c r="I269" s="25" t="s">
        <v>2221</v>
      </c>
      <c r="J269" s="42" t="s">
        <v>2222</v>
      </c>
      <c r="K269" s="42" t="s">
        <v>2223</v>
      </c>
      <c r="L269" s="26">
        <v>1015423697</v>
      </c>
      <c r="M269" s="43">
        <v>1132</v>
      </c>
      <c r="N269" s="44">
        <v>45030</v>
      </c>
      <c r="O269" s="45">
        <v>38790000</v>
      </c>
      <c r="P269" s="44">
        <v>45036</v>
      </c>
      <c r="Q269" s="43" t="s">
        <v>2224</v>
      </c>
      <c r="R269" s="46">
        <v>45040</v>
      </c>
      <c r="S269" s="45" t="s">
        <v>162</v>
      </c>
      <c r="T269" s="46">
        <v>45041</v>
      </c>
      <c r="U269" s="45">
        <v>38790000</v>
      </c>
      <c r="V269" s="43">
        <v>1127</v>
      </c>
      <c r="W269" s="44">
        <v>45037</v>
      </c>
      <c r="X269" s="47">
        <v>38790000</v>
      </c>
      <c r="Y269" s="46">
        <v>45269</v>
      </c>
      <c r="Z269" s="48" t="s">
        <v>120</v>
      </c>
      <c r="AA269" s="48"/>
      <c r="AB269" s="48"/>
      <c r="AC269" s="26"/>
      <c r="AD269" s="48"/>
      <c r="AE269" s="48"/>
      <c r="AF269" s="48"/>
      <c r="AG269" s="45"/>
      <c r="AH269" s="50">
        <f>U269+AG269</f>
        <v>38790000</v>
      </c>
      <c r="AI269" s="48"/>
      <c r="AJ269" s="48"/>
      <c r="AK269" s="48"/>
      <c r="AL269" s="42"/>
      <c r="AM269" s="48"/>
      <c r="AN269" s="48"/>
      <c r="AO269" s="38"/>
      <c r="AP269" s="38"/>
      <c r="AQ269" s="38"/>
      <c r="AR269" s="38"/>
      <c r="AS269" s="38"/>
      <c r="AT269" s="51"/>
      <c r="AU269" s="52"/>
      <c r="AV269" s="38"/>
      <c r="AW269" s="41" t="s">
        <v>56</v>
      </c>
      <c r="AX269" s="40" t="s">
        <v>145</v>
      </c>
      <c r="AY269" s="54">
        <v>20235920005233</v>
      </c>
    </row>
    <row r="270" spans="2:51" s="37" customFormat="1" ht="17.25" customHeight="1" x14ac:dyDescent="0.25">
      <c r="B270" s="38">
        <v>269</v>
      </c>
      <c r="C270" s="39">
        <v>2023</v>
      </c>
      <c r="D270" s="40" t="s">
        <v>2225</v>
      </c>
      <c r="E270" s="41" t="s">
        <v>2010</v>
      </c>
      <c r="F270" s="40" t="s">
        <v>97</v>
      </c>
      <c r="G270" s="40" t="s">
        <v>98</v>
      </c>
      <c r="H270" s="41" t="s">
        <v>2226</v>
      </c>
      <c r="I270" s="25" t="s">
        <v>2227</v>
      </c>
      <c r="J270" s="42" t="s">
        <v>2228</v>
      </c>
      <c r="K270" s="42" t="s">
        <v>2229</v>
      </c>
      <c r="L270" s="26">
        <v>1026289565</v>
      </c>
      <c r="M270" s="43">
        <v>1115</v>
      </c>
      <c r="N270" s="44">
        <v>45007</v>
      </c>
      <c r="O270" s="45">
        <v>37500000</v>
      </c>
      <c r="P270" s="44">
        <v>45035</v>
      </c>
      <c r="Q270" s="43" t="s">
        <v>2230</v>
      </c>
      <c r="R270" s="46">
        <v>45040</v>
      </c>
      <c r="S270" s="45" t="s">
        <v>162</v>
      </c>
      <c r="T270" s="46">
        <v>45041</v>
      </c>
      <c r="U270" s="45">
        <v>37500000</v>
      </c>
      <c r="V270" s="43">
        <v>116</v>
      </c>
      <c r="W270" s="44">
        <v>45036</v>
      </c>
      <c r="X270" s="47">
        <v>37500000</v>
      </c>
      <c r="Y270" s="46">
        <v>45269</v>
      </c>
      <c r="Z270" s="48" t="s">
        <v>120</v>
      </c>
      <c r="AA270" s="48"/>
      <c r="AB270" s="48"/>
      <c r="AC270" s="26"/>
      <c r="AD270" s="48"/>
      <c r="AE270" s="48"/>
      <c r="AF270" s="48"/>
      <c r="AG270" s="45"/>
      <c r="AH270" s="50">
        <f>U270+AG270</f>
        <v>37500000</v>
      </c>
      <c r="AI270" s="48"/>
      <c r="AJ270" s="48"/>
      <c r="AK270" s="48"/>
      <c r="AL270" s="42"/>
      <c r="AM270" s="48"/>
      <c r="AN270" s="48"/>
      <c r="AO270" s="38"/>
      <c r="AP270" s="38"/>
      <c r="AQ270" s="38"/>
      <c r="AR270" s="38"/>
      <c r="AS270" s="38"/>
      <c r="AT270" s="51"/>
      <c r="AU270" s="52"/>
      <c r="AV270" s="38"/>
      <c r="AW270" s="41" t="s">
        <v>56</v>
      </c>
      <c r="AX270" s="40" t="s">
        <v>529</v>
      </c>
      <c r="AY270" s="54">
        <v>20235920005243</v>
      </c>
    </row>
    <row r="271" spans="2:51" s="37" customFormat="1" ht="17.25" customHeight="1" x14ac:dyDescent="0.25">
      <c r="B271" s="38">
        <v>270</v>
      </c>
      <c r="C271" s="39">
        <v>2023</v>
      </c>
      <c r="D271" s="40" t="s">
        <v>2231</v>
      </c>
      <c r="E271" s="41" t="s">
        <v>153</v>
      </c>
      <c r="F271" s="40" t="s">
        <v>97</v>
      </c>
      <c r="G271" s="40" t="s">
        <v>98</v>
      </c>
      <c r="H271" s="41" t="s">
        <v>2232</v>
      </c>
      <c r="I271" s="25" t="s">
        <v>2233</v>
      </c>
      <c r="J271" s="42" t="s">
        <v>2234</v>
      </c>
      <c r="K271" s="42" t="s">
        <v>2235</v>
      </c>
      <c r="L271" s="26">
        <v>1016006281</v>
      </c>
      <c r="M271" s="43">
        <v>1143</v>
      </c>
      <c r="N271" s="44">
        <v>45034</v>
      </c>
      <c r="O271" s="45">
        <v>33900000</v>
      </c>
      <c r="P271" s="44">
        <v>45037</v>
      </c>
      <c r="Q271" s="43" t="s">
        <v>2236</v>
      </c>
      <c r="R271" s="46">
        <v>45040</v>
      </c>
      <c r="S271" s="45" t="s">
        <v>162</v>
      </c>
      <c r="T271" s="46">
        <v>45041</v>
      </c>
      <c r="U271" s="45">
        <v>33900000</v>
      </c>
      <c r="V271" s="43">
        <v>1128</v>
      </c>
      <c r="W271" s="44">
        <v>45037</v>
      </c>
      <c r="X271" s="47">
        <v>33900000</v>
      </c>
      <c r="Y271" s="46">
        <v>45269</v>
      </c>
      <c r="Z271" s="48" t="s">
        <v>120</v>
      </c>
      <c r="AA271" s="48"/>
      <c r="AB271" s="48"/>
      <c r="AC271" s="26"/>
      <c r="AD271" s="48"/>
      <c r="AE271" s="48"/>
      <c r="AF271" s="48"/>
      <c r="AG271" s="45"/>
      <c r="AH271" s="50">
        <f>U271+AG271</f>
        <v>33900000</v>
      </c>
      <c r="AI271" s="48"/>
      <c r="AJ271" s="48"/>
      <c r="AK271" s="48"/>
      <c r="AL271" s="42"/>
      <c r="AM271" s="48"/>
      <c r="AN271" s="48"/>
      <c r="AO271" s="38"/>
      <c r="AP271" s="38"/>
      <c r="AQ271" s="38"/>
      <c r="AR271" s="38"/>
      <c r="AS271" s="38"/>
      <c r="AT271" s="51"/>
      <c r="AU271" s="52"/>
      <c r="AV271" s="38"/>
      <c r="AW271" s="41" t="s">
        <v>56</v>
      </c>
      <c r="AX271" s="40" t="s">
        <v>493</v>
      </c>
      <c r="AY271" s="54">
        <v>20235920005153</v>
      </c>
    </row>
    <row r="272" spans="2:51" s="37" customFormat="1" ht="17.25" customHeight="1" x14ac:dyDescent="0.25">
      <c r="B272" s="38">
        <v>271</v>
      </c>
      <c r="C272" s="39">
        <v>2023</v>
      </c>
      <c r="D272" s="40" t="s">
        <v>2237</v>
      </c>
      <c r="E272" s="41" t="s">
        <v>153</v>
      </c>
      <c r="F272" s="40" t="s">
        <v>97</v>
      </c>
      <c r="G272" s="40" t="s">
        <v>98</v>
      </c>
      <c r="H272" s="41" t="s">
        <v>2238</v>
      </c>
      <c r="I272" s="25" t="s">
        <v>2239</v>
      </c>
      <c r="J272" s="42" t="s">
        <v>1365</v>
      </c>
      <c r="K272" s="42" t="s">
        <v>2240</v>
      </c>
      <c r="L272" s="26">
        <v>1000515517</v>
      </c>
      <c r="M272" s="43">
        <v>1129</v>
      </c>
      <c r="N272" s="44">
        <v>45027</v>
      </c>
      <c r="O272" s="45">
        <v>22500000</v>
      </c>
      <c r="P272" s="44">
        <v>45041</v>
      </c>
      <c r="Q272" s="43" t="s">
        <v>2241</v>
      </c>
      <c r="R272" s="46">
        <v>45042</v>
      </c>
      <c r="S272" s="45" t="s">
        <v>162</v>
      </c>
      <c r="T272" s="46">
        <v>45042</v>
      </c>
      <c r="U272" s="45">
        <v>22500000</v>
      </c>
      <c r="V272" s="43">
        <v>1134</v>
      </c>
      <c r="W272" s="44">
        <v>45041</v>
      </c>
      <c r="X272" s="47">
        <v>22500000</v>
      </c>
      <c r="Y272" s="46">
        <v>45270</v>
      </c>
      <c r="Z272" s="48" t="s">
        <v>120</v>
      </c>
      <c r="AA272" s="48"/>
      <c r="AB272" s="48"/>
      <c r="AC272" s="26"/>
      <c r="AD272" s="48"/>
      <c r="AE272" s="48"/>
      <c r="AF272" s="48"/>
      <c r="AG272" s="45"/>
      <c r="AH272" s="50">
        <f>U272+AG272</f>
        <v>22500000</v>
      </c>
      <c r="AI272" s="48"/>
      <c r="AJ272" s="48"/>
      <c r="AK272" s="48"/>
      <c r="AL272" s="42"/>
      <c r="AM272" s="48"/>
      <c r="AN272" s="48"/>
      <c r="AO272" s="38"/>
      <c r="AP272" s="38"/>
      <c r="AQ272" s="38"/>
      <c r="AR272" s="38"/>
      <c r="AS272" s="38"/>
      <c r="AT272" s="51"/>
      <c r="AU272" s="52"/>
      <c r="AV272" s="38"/>
      <c r="AW272" s="41" t="s">
        <v>56</v>
      </c>
      <c r="AX272" s="40" t="s">
        <v>493</v>
      </c>
      <c r="AY272" s="54">
        <v>20235920005163</v>
      </c>
    </row>
    <row r="273" spans="2:51" s="37" customFormat="1" ht="17.25" customHeight="1" x14ac:dyDescent="0.25">
      <c r="B273" s="38">
        <v>272</v>
      </c>
      <c r="C273" s="39">
        <v>2023</v>
      </c>
      <c r="D273" s="40" t="s">
        <v>2242</v>
      </c>
      <c r="E273" s="41" t="s">
        <v>153</v>
      </c>
      <c r="F273" s="40" t="s">
        <v>97</v>
      </c>
      <c r="G273" s="40" t="s">
        <v>98</v>
      </c>
      <c r="H273" s="41" t="s">
        <v>2243</v>
      </c>
      <c r="I273" s="25" t="s">
        <v>2244</v>
      </c>
      <c r="J273" s="42" t="s">
        <v>2245</v>
      </c>
      <c r="K273" s="42" t="s">
        <v>2246</v>
      </c>
      <c r="L273" s="26">
        <v>1030589845</v>
      </c>
      <c r="M273" s="43">
        <v>1145</v>
      </c>
      <c r="N273" s="44">
        <v>45034</v>
      </c>
      <c r="O273" s="45">
        <v>38700000</v>
      </c>
      <c r="P273" s="44">
        <v>45041</v>
      </c>
      <c r="Q273" s="43" t="s">
        <v>2247</v>
      </c>
      <c r="R273" s="46">
        <v>45042</v>
      </c>
      <c r="S273" s="45" t="s">
        <v>162</v>
      </c>
      <c r="T273" s="46">
        <v>45043</v>
      </c>
      <c r="U273" s="45">
        <v>38700000</v>
      </c>
      <c r="V273" s="43">
        <v>1135</v>
      </c>
      <c r="W273" s="44">
        <v>45042</v>
      </c>
      <c r="X273" s="47">
        <v>38700000</v>
      </c>
      <c r="Y273" s="46">
        <v>45271</v>
      </c>
      <c r="Z273" s="48" t="s">
        <v>120</v>
      </c>
      <c r="AA273" s="48"/>
      <c r="AB273" s="48"/>
      <c r="AC273" s="26"/>
      <c r="AD273" s="48"/>
      <c r="AE273" s="48"/>
      <c r="AF273" s="48"/>
      <c r="AG273" s="45"/>
      <c r="AH273" s="50">
        <f>U273+AG273</f>
        <v>38700000</v>
      </c>
      <c r="AI273" s="48"/>
      <c r="AJ273" s="48"/>
      <c r="AK273" s="48"/>
      <c r="AL273" s="42"/>
      <c r="AM273" s="48"/>
      <c r="AN273" s="48"/>
      <c r="AO273" s="38"/>
      <c r="AP273" s="38"/>
      <c r="AQ273" s="38"/>
      <c r="AR273" s="38"/>
      <c r="AS273" s="38"/>
      <c r="AT273" s="51"/>
      <c r="AU273" s="52"/>
      <c r="AV273" s="38"/>
      <c r="AW273" s="41" t="s">
        <v>56</v>
      </c>
      <c r="AX273" s="40" t="s">
        <v>566</v>
      </c>
      <c r="AY273" s="54">
        <v>20235920005173</v>
      </c>
    </row>
    <row r="274" spans="2:51" s="37" customFormat="1" ht="17.25" customHeight="1" x14ac:dyDescent="0.25">
      <c r="B274" s="38">
        <v>273</v>
      </c>
      <c r="C274" s="39">
        <v>2023</v>
      </c>
      <c r="D274" s="40" t="s">
        <v>2248</v>
      </c>
      <c r="E274" s="41" t="s">
        <v>96</v>
      </c>
      <c r="F274" s="40" t="s">
        <v>97</v>
      </c>
      <c r="G274" s="40" t="s">
        <v>98</v>
      </c>
      <c r="H274" s="41" t="s">
        <v>2249</v>
      </c>
      <c r="I274" s="25" t="s">
        <v>2250</v>
      </c>
      <c r="J274" s="42" t="s">
        <v>2251</v>
      </c>
      <c r="K274" s="42" t="s">
        <v>2252</v>
      </c>
      <c r="L274" s="26">
        <v>1016063720</v>
      </c>
      <c r="M274" s="43">
        <v>1142</v>
      </c>
      <c r="N274" s="44">
        <v>45034</v>
      </c>
      <c r="O274" s="45">
        <v>48750000</v>
      </c>
      <c r="P274" s="44">
        <v>45043</v>
      </c>
      <c r="Q274" s="43" t="s">
        <v>2253</v>
      </c>
      <c r="R274" s="46">
        <v>45049</v>
      </c>
      <c r="S274" s="45" t="s">
        <v>162</v>
      </c>
      <c r="T274" s="44">
        <v>45050</v>
      </c>
      <c r="U274" s="45">
        <v>48750000</v>
      </c>
      <c r="V274" s="43">
        <v>1140</v>
      </c>
      <c r="W274" s="44">
        <v>45049</v>
      </c>
      <c r="X274" s="47">
        <v>48750000</v>
      </c>
      <c r="Y274" s="44">
        <v>45278</v>
      </c>
      <c r="Z274" s="48" t="s">
        <v>120</v>
      </c>
      <c r="AA274" s="48"/>
      <c r="AB274" s="48"/>
      <c r="AC274" s="26"/>
      <c r="AD274" s="48"/>
      <c r="AE274" s="48"/>
      <c r="AF274" s="48"/>
      <c r="AG274" s="45"/>
      <c r="AH274" s="50">
        <f>U274+AG274</f>
        <v>48750000</v>
      </c>
      <c r="AI274" s="48"/>
      <c r="AJ274" s="48"/>
      <c r="AK274" s="48"/>
      <c r="AL274" s="42"/>
      <c r="AM274" s="48"/>
      <c r="AN274" s="48"/>
      <c r="AO274" s="38"/>
      <c r="AP274" s="38"/>
      <c r="AQ274" s="38"/>
      <c r="AR274" s="38"/>
      <c r="AS274" s="38"/>
      <c r="AT274" s="51"/>
      <c r="AU274" s="52"/>
      <c r="AV274" s="38"/>
      <c r="AW274" s="41" t="s">
        <v>56</v>
      </c>
      <c r="AX274" s="40" t="s">
        <v>145</v>
      </c>
      <c r="AY274" s="54">
        <v>20235920005423</v>
      </c>
    </row>
    <row r="275" spans="2:51" s="37" customFormat="1" ht="17.25" customHeight="1" x14ac:dyDescent="0.25">
      <c r="B275" s="38">
        <v>274</v>
      </c>
      <c r="C275" s="39">
        <v>2023</v>
      </c>
      <c r="D275" s="40" t="s">
        <v>2254</v>
      </c>
      <c r="E275" s="41" t="s">
        <v>113</v>
      </c>
      <c r="F275" s="40" t="s">
        <v>97</v>
      </c>
      <c r="G275" s="40" t="s">
        <v>98</v>
      </c>
      <c r="H275" s="41" t="s">
        <v>2255</v>
      </c>
      <c r="I275" s="25" t="s">
        <v>2256</v>
      </c>
      <c r="J275" s="42" t="s">
        <v>2257</v>
      </c>
      <c r="K275" s="42" t="s">
        <v>2258</v>
      </c>
      <c r="L275" s="26">
        <v>1012332109</v>
      </c>
      <c r="M275" s="43">
        <v>1139</v>
      </c>
      <c r="N275" s="44">
        <v>45034</v>
      </c>
      <c r="O275" s="45">
        <v>27000000</v>
      </c>
      <c r="P275" s="44">
        <v>45044</v>
      </c>
      <c r="Q275" s="43" t="s">
        <v>2259</v>
      </c>
      <c r="R275" s="46">
        <v>45049</v>
      </c>
      <c r="S275" s="45" t="s">
        <v>162</v>
      </c>
      <c r="T275" s="46">
        <v>45050</v>
      </c>
      <c r="U275" s="45">
        <v>27000000</v>
      </c>
      <c r="V275" s="43">
        <v>1144</v>
      </c>
      <c r="W275" s="44">
        <v>45050</v>
      </c>
      <c r="X275" s="47">
        <v>27000000</v>
      </c>
      <c r="Y275" s="46">
        <v>45278</v>
      </c>
      <c r="Z275" s="48" t="s">
        <v>120</v>
      </c>
      <c r="AA275" s="48"/>
      <c r="AB275" s="48"/>
      <c r="AC275" s="26"/>
      <c r="AD275" s="48"/>
      <c r="AE275" s="48"/>
      <c r="AF275" s="48"/>
      <c r="AG275" s="45"/>
      <c r="AH275" s="50">
        <f>U275+AG275</f>
        <v>27000000</v>
      </c>
      <c r="AI275" s="48"/>
      <c r="AJ275" s="48"/>
      <c r="AK275" s="48"/>
      <c r="AL275" s="42"/>
      <c r="AM275" s="48"/>
      <c r="AN275" s="48"/>
      <c r="AO275" s="38"/>
      <c r="AP275" s="38"/>
      <c r="AQ275" s="38"/>
      <c r="AR275" s="38"/>
      <c r="AS275" s="38"/>
      <c r="AT275" s="51"/>
      <c r="AU275" s="52"/>
      <c r="AV275" s="38"/>
      <c r="AW275" s="41" t="s">
        <v>56</v>
      </c>
      <c r="AX275" s="40" t="s">
        <v>758</v>
      </c>
      <c r="AY275" s="54">
        <v>20235920005613</v>
      </c>
    </row>
    <row r="276" spans="2:51" s="37" customFormat="1" ht="17.25" customHeight="1" x14ac:dyDescent="0.25">
      <c r="B276" s="38">
        <v>275</v>
      </c>
      <c r="C276" s="39">
        <v>2023</v>
      </c>
      <c r="D276" s="40" t="s">
        <v>2260</v>
      </c>
      <c r="E276" s="41" t="s">
        <v>199</v>
      </c>
      <c r="F276" s="40" t="s">
        <v>97</v>
      </c>
      <c r="G276" s="40" t="s">
        <v>98</v>
      </c>
      <c r="H276" s="41" t="s">
        <v>2261</v>
      </c>
      <c r="I276" s="25" t="s">
        <v>2262</v>
      </c>
      <c r="J276" s="42" t="s">
        <v>2263</v>
      </c>
      <c r="K276" s="42" t="s">
        <v>2264</v>
      </c>
      <c r="L276" s="26">
        <v>80802871</v>
      </c>
      <c r="M276" s="43">
        <v>1141</v>
      </c>
      <c r="N276" s="44">
        <v>45034</v>
      </c>
      <c r="O276" s="45">
        <v>38790000</v>
      </c>
      <c r="P276" s="44">
        <v>45043</v>
      </c>
      <c r="Q276" s="43" t="s">
        <v>2265</v>
      </c>
      <c r="R276" s="46">
        <v>45051</v>
      </c>
      <c r="S276" s="45" t="s">
        <v>162</v>
      </c>
      <c r="T276" s="46">
        <v>45051</v>
      </c>
      <c r="U276" s="45">
        <v>38790000</v>
      </c>
      <c r="V276" s="43">
        <v>1138</v>
      </c>
      <c r="W276" s="44">
        <v>45044</v>
      </c>
      <c r="X276" s="47">
        <v>38790000</v>
      </c>
      <c r="Y276" s="46">
        <v>45279</v>
      </c>
      <c r="Z276" s="48" t="s">
        <v>120</v>
      </c>
      <c r="AA276" s="48"/>
      <c r="AB276" s="48"/>
      <c r="AC276" s="26"/>
      <c r="AD276" s="48"/>
      <c r="AE276" s="48"/>
      <c r="AF276" s="48"/>
      <c r="AG276" s="45"/>
      <c r="AH276" s="50">
        <f>U276+AG276</f>
        <v>38790000</v>
      </c>
      <c r="AI276" s="48"/>
      <c r="AJ276" s="48"/>
      <c r="AK276" s="48"/>
      <c r="AL276" s="42"/>
      <c r="AM276" s="48"/>
      <c r="AN276" s="48"/>
      <c r="AO276" s="38"/>
      <c r="AP276" s="38"/>
      <c r="AQ276" s="38"/>
      <c r="AR276" s="38"/>
      <c r="AS276" s="38"/>
      <c r="AT276" s="51"/>
      <c r="AU276" s="52"/>
      <c r="AV276" s="38"/>
      <c r="AW276" s="41" t="s">
        <v>56</v>
      </c>
      <c r="AX276" s="40" t="s">
        <v>238</v>
      </c>
      <c r="AY276" s="54">
        <v>20235920005843</v>
      </c>
    </row>
    <row r="277" spans="2:51" s="37" customFormat="1" ht="17.25" customHeight="1" x14ac:dyDescent="0.25">
      <c r="B277" s="38">
        <v>276</v>
      </c>
      <c r="C277" s="39">
        <v>2023</v>
      </c>
      <c r="D277" s="40" t="s">
        <v>2266</v>
      </c>
      <c r="E277" s="41" t="s">
        <v>96</v>
      </c>
      <c r="F277" s="40" t="s">
        <v>97</v>
      </c>
      <c r="G277" s="40" t="s">
        <v>98</v>
      </c>
      <c r="H277" s="41" t="s">
        <v>2267</v>
      </c>
      <c r="I277" s="25" t="s">
        <v>2268</v>
      </c>
      <c r="J277" s="42" t="s">
        <v>1070</v>
      </c>
      <c r="K277" s="42" t="s">
        <v>2269</v>
      </c>
      <c r="L277" s="26">
        <v>52083205</v>
      </c>
      <c r="M277" s="43">
        <v>1138</v>
      </c>
      <c r="N277" s="44">
        <v>45034</v>
      </c>
      <c r="O277" s="45">
        <v>45000000</v>
      </c>
      <c r="P277" s="44">
        <v>45044</v>
      </c>
      <c r="Q277" s="43" t="s">
        <v>2270</v>
      </c>
      <c r="R277" s="46">
        <v>45050</v>
      </c>
      <c r="S277" s="45" t="s">
        <v>162</v>
      </c>
      <c r="T277" s="46">
        <v>45050</v>
      </c>
      <c r="U277" s="45">
        <v>45000000</v>
      </c>
      <c r="V277" s="43">
        <v>1141</v>
      </c>
      <c r="W277" s="44">
        <v>45049</v>
      </c>
      <c r="X277" s="47">
        <v>45000000</v>
      </c>
      <c r="Y277" s="46">
        <v>45278</v>
      </c>
      <c r="Z277" s="48" t="s">
        <v>120</v>
      </c>
      <c r="AA277" s="48"/>
      <c r="AB277" s="48"/>
      <c r="AC277" s="26"/>
      <c r="AD277" s="48"/>
      <c r="AE277" s="48"/>
      <c r="AF277" s="48"/>
      <c r="AG277" s="45"/>
      <c r="AH277" s="50">
        <f>U277+AG277</f>
        <v>45000000</v>
      </c>
      <c r="AI277" s="48"/>
      <c r="AJ277" s="48"/>
      <c r="AK277" s="48"/>
      <c r="AL277" s="42"/>
      <c r="AM277" s="48"/>
      <c r="AN277" s="48"/>
      <c r="AO277" s="38"/>
      <c r="AP277" s="38"/>
      <c r="AQ277" s="38"/>
      <c r="AR277" s="38"/>
      <c r="AS277" s="38"/>
      <c r="AT277" s="51"/>
      <c r="AU277" s="52"/>
      <c r="AV277" s="38"/>
      <c r="AW277" s="41" t="s">
        <v>56</v>
      </c>
      <c r="AX277" s="40" t="s">
        <v>337</v>
      </c>
      <c r="AY277" s="54">
        <v>20235920005443</v>
      </c>
    </row>
    <row r="278" spans="2:51" s="37" customFormat="1" ht="17.25" customHeight="1" x14ac:dyDescent="0.25">
      <c r="B278" s="38">
        <v>277</v>
      </c>
      <c r="C278" s="39">
        <v>2023</v>
      </c>
      <c r="D278" s="40" t="s">
        <v>2271</v>
      </c>
      <c r="E278" s="41" t="s">
        <v>155</v>
      </c>
      <c r="F278" s="40" t="s">
        <v>97</v>
      </c>
      <c r="G278" s="40" t="s">
        <v>98</v>
      </c>
      <c r="H278" s="41" t="s">
        <v>2272</v>
      </c>
      <c r="I278" s="25" t="s">
        <v>2273</v>
      </c>
      <c r="J278" s="42" t="s">
        <v>2274</v>
      </c>
      <c r="K278" s="42" t="s">
        <v>2275</v>
      </c>
      <c r="L278" s="26">
        <v>1016002153</v>
      </c>
      <c r="M278" s="43">
        <v>1137</v>
      </c>
      <c r="N278" s="44">
        <v>45034</v>
      </c>
      <c r="O278" s="45">
        <v>20250000</v>
      </c>
      <c r="P278" s="44">
        <v>45050</v>
      </c>
      <c r="Q278" s="43" t="s">
        <v>2276</v>
      </c>
      <c r="R278" s="46">
        <v>45054</v>
      </c>
      <c r="S278" s="45" t="s">
        <v>162</v>
      </c>
      <c r="T278" s="46">
        <v>45054</v>
      </c>
      <c r="U278" s="45">
        <v>20250000</v>
      </c>
      <c r="V278" s="43">
        <v>1145</v>
      </c>
      <c r="W278" s="44">
        <v>45051</v>
      </c>
      <c r="X278" s="47">
        <v>20250000</v>
      </c>
      <c r="Y278" s="46">
        <v>45282</v>
      </c>
      <c r="Z278" s="48" t="s">
        <v>120</v>
      </c>
      <c r="AA278" s="48"/>
      <c r="AB278" s="48"/>
      <c r="AC278" s="26"/>
      <c r="AD278" s="48"/>
      <c r="AE278" s="48"/>
      <c r="AF278" s="48"/>
      <c r="AG278" s="45"/>
      <c r="AH278" s="50">
        <f>U278+AG278</f>
        <v>20250000</v>
      </c>
      <c r="AI278" s="48"/>
      <c r="AJ278" s="48"/>
      <c r="AK278" s="48"/>
      <c r="AL278" s="42"/>
      <c r="AM278" s="48"/>
      <c r="AN278" s="48"/>
      <c r="AO278" s="38"/>
      <c r="AP278" s="38"/>
      <c r="AQ278" s="38"/>
      <c r="AR278" s="38"/>
      <c r="AS278" s="38"/>
      <c r="AT278" s="51"/>
      <c r="AU278" s="52"/>
      <c r="AV278" s="38"/>
      <c r="AW278" s="41" t="s">
        <v>56</v>
      </c>
      <c r="AX278" s="40" t="s">
        <v>1257</v>
      </c>
      <c r="AY278" s="54">
        <v>20235920009173</v>
      </c>
    </row>
    <row r="279" spans="2:51" s="37" customFormat="1" ht="17.25" customHeight="1" x14ac:dyDescent="0.25">
      <c r="B279" s="38">
        <v>278</v>
      </c>
      <c r="C279" s="39">
        <v>2023</v>
      </c>
      <c r="D279" s="40" t="s">
        <v>2277</v>
      </c>
      <c r="E279" s="41" t="s">
        <v>2010</v>
      </c>
      <c r="F279" s="40" t="s">
        <v>97</v>
      </c>
      <c r="G279" s="40" t="s">
        <v>98</v>
      </c>
      <c r="H279" s="41" t="s">
        <v>2278</v>
      </c>
      <c r="I279" s="25" t="s">
        <v>2279</v>
      </c>
      <c r="J279" s="42" t="s">
        <v>2280</v>
      </c>
      <c r="K279" s="42" t="s">
        <v>2281</v>
      </c>
      <c r="L279" s="26">
        <v>1015471286</v>
      </c>
      <c r="M279" s="43">
        <v>1144</v>
      </c>
      <c r="N279" s="44">
        <v>45034</v>
      </c>
      <c r="O279" s="45">
        <v>33900000</v>
      </c>
      <c r="P279" s="44">
        <v>45055</v>
      </c>
      <c r="Q279" s="43" t="s">
        <v>2282</v>
      </c>
      <c r="R279" s="46">
        <v>45056</v>
      </c>
      <c r="S279" s="45" t="s">
        <v>162</v>
      </c>
      <c r="T279" s="46">
        <v>45061</v>
      </c>
      <c r="U279" s="45">
        <v>33900000</v>
      </c>
      <c r="V279" s="43">
        <v>1149</v>
      </c>
      <c r="W279" s="44">
        <v>45055</v>
      </c>
      <c r="X279" s="47">
        <v>33900000</v>
      </c>
      <c r="Y279" s="46">
        <v>45289</v>
      </c>
      <c r="Z279" s="48" t="s">
        <v>120</v>
      </c>
      <c r="AA279" s="48"/>
      <c r="AB279" s="48"/>
      <c r="AC279" s="26"/>
      <c r="AD279" s="48"/>
      <c r="AE279" s="48"/>
      <c r="AF279" s="48"/>
      <c r="AG279" s="45"/>
      <c r="AH279" s="50">
        <f>U279+AG279</f>
        <v>33900000</v>
      </c>
      <c r="AI279" s="48"/>
      <c r="AJ279" s="48"/>
      <c r="AK279" s="48"/>
      <c r="AL279" s="42"/>
      <c r="AM279" s="48"/>
      <c r="AN279" s="48"/>
      <c r="AO279" s="38"/>
      <c r="AP279" s="38"/>
      <c r="AQ279" s="38"/>
      <c r="AR279" s="38"/>
      <c r="AS279" s="38"/>
      <c r="AT279" s="51"/>
      <c r="AU279" s="52"/>
      <c r="AV279" s="38"/>
      <c r="AW279" s="41" t="s">
        <v>56</v>
      </c>
      <c r="AX279" s="40" t="s">
        <v>231</v>
      </c>
      <c r="AY279" s="54">
        <v>20235920009003</v>
      </c>
    </row>
    <row r="280" spans="2:51" s="37" customFormat="1" ht="17.25" customHeight="1" x14ac:dyDescent="0.25">
      <c r="B280" s="38">
        <v>279</v>
      </c>
      <c r="C280" s="39">
        <v>2023</v>
      </c>
      <c r="D280" s="40" t="s">
        <v>2283</v>
      </c>
      <c r="E280" s="41" t="s">
        <v>324</v>
      </c>
      <c r="F280" s="40" t="s">
        <v>97</v>
      </c>
      <c r="G280" s="40" t="s">
        <v>98</v>
      </c>
      <c r="H280" s="41" t="s">
        <v>2284</v>
      </c>
      <c r="I280" s="25" t="s">
        <v>2285</v>
      </c>
      <c r="J280" s="42" t="s">
        <v>2286</v>
      </c>
      <c r="K280" s="42" t="s">
        <v>2287</v>
      </c>
      <c r="L280" s="26">
        <v>1016011024</v>
      </c>
      <c r="M280" s="43">
        <v>1150</v>
      </c>
      <c r="N280" s="44">
        <v>45040</v>
      </c>
      <c r="O280" s="45">
        <v>33900000</v>
      </c>
      <c r="P280" s="44">
        <v>45054</v>
      </c>
      <c r="Q280" s="43" t="s">
        <v>2288</v>
      </c>
      <c r="R280" s="46">
        <v>45056</v>
      </c>
      <c r="S280" s="45" t="s">
        <v>162</v>
      </c>
      <c r="T280" s="46">
        <v>45058</v>
      </c>
      <c r="U280" s="45">
        <v>33900000</v>
      </c>
      <c r="V280" s="43">
        <v>1150</v>
      </c>
      <c r="W280" s="44">
        <v>45057</v>
      </c>
      <c r="X280" s="47">
        <v>33900000</v>
      </c>
      <c r="Y280" s="46">
        <v>45286</v>
      </c>
      <c r="Z280" s="48" t="s">
        <v>120</v>
      </c>
      <c r="AA280" s="48"/>
      <c r="AB280" s="48"/>
      <c r="AC280" s="26"/>
      <c r="AD280" s="48"/>
      <c r="AE280" s="48"/>
      <c r="AF280" s="48"/>
      <c r="AG280" s="45"/>
      <c r="AH280" s="50">
        <f>U280+AG280</f>
        <v>33900000</v>
      </c>
      <c r="AI280" s="48"/>
      <c r="AJ280" s="48"/>
      <c r="AK280" s="48"/>
      <c r="AL280" s="42"/>
      <c r="AM280" s="48"/>
      <c r="AN280" s="48"/>
      <c r="AO280" s="38"/>
      <c r="AP280" s="38"/>
      <c r="AQ280" s="38"/>
      <c r="AR280" s="38"/>
      <c r="AS280" s="38"/>
      <c r="AT280" s="51"/>
      <c r="AU280" s="52"/>
      <c r="AV280" s="38"/>
      <c r="AW280" s="41" t="s">
        <v>56</v>
      </c>
      <c r="AX280" s="40" t="s">
        <v>758</v>
      </c>
      <c r="AY280" s="54">
        <v>20235920005513</v>
      </c>
    </row>
    <row r="281" spans="2:51" s="37" customFormat="1" ht="17.25" customHeight="1" x14ac:dyDescent="0.25">
      <c r="B281" s="38">
        <v>280</v>
      </c>
      <c r="C281" s="39">
        <v>2023</v>
      </c>
      <c r="D281" s="40" t="s">
        <v>2289</v>
      </c>
      <c r="E281" s="41" t="s">
        <v>324</v>
      </c>
      <c r="F281" s="40" t="s">
        <v>97</v>
      </c>
      <c r="G281" s="40" t="s">
        <v>98</v>
      </c>
      <c r="H281" s="41" t="s">
        <v>2290</v>
      </c>
      <c r="I281" s="25" t="s">
        <v>2291</v>
      </c>
      <c r="J281" s="42" t="s">
        <v>2292</v>
      </c>
      <c r="K281" s="42" t="s">
        <v>2293</v>
      </c>
      <c r="L281" s="26">
        <v>39751334</v>
      </c>
      <c r="M281" s="43">
        <v>1140</v>
      </c>
      <c r="N281" s="44">
        <v>45034</v>
      </c>
      <c r="O281" s="45">
        <v>45000000</v>
      </c>
      <c r="P281" s="44">
        <v>45054</v>
      </c>
      <c r="Q281" s="43" t="s">
        <v>2294</v>
      </c>
      <c r="R281" s="46">
        <v>45056</v>
      </c>
      <c r="S281" s="45" t="s">
        <v>162</v>
      </c>
      <c r="T281" s="46">
        <v>45058</v>
      </c>
      <c r="U281" s="45">
        <v>45000000</v>
      </c>
      <c r="V281" s="43">
        <v>1147</v>
      </c>
      <c r="W281" s="44">
        <v>45054</v>
      </c>
      <c r="X281" s="47">
        <v>45000000</v>
      </c>
      <c r="Y281" s="46">
        <v>45286</v>
      </c>
      <c r="Z281" s="48" t="s">
        <v>109</v>
      </c>
      <c r="AA281" s="49">
        <v>45223</v>
      </c>
      <c r="AB281" s="48" t="s">
        <v>2295</v>
      </c>
      <c r="AC281" s="26">
        <v>53032345</v>
      </c>
      <c r="AD281" s="48" t="s">
        <v>2296</v>
      </c>
      <c r="AE281" s="49">
        <v>45225</v>
      </c>
      <c r="AF281" s="48"/>
      <c r="AG281" s="45"/>
      <c r="AH281" s="50">
        <f>U281+AG281</f>
        <v>45000000</v>
      </c>
      <c r="AI281" s="48"/>
      <c r="AJ281" s="48"/>
      <c r="AK281" s="48"/>
      <c r="AL281" s="42"/>
      <c r="AM281" s="48"/>
      <c r="AN281" s="48"/>
      <c r="AO281" s="38"/>
      <c r="AP281" s="38"/>
      <c r="AQ281" s="38"/>
      <c r="AR281" s="38"/>
      <c r="AS281" s="38"/>
      <c r="AT281" s="51"/>
      <c r="AU281" s="52"/>
      <c r="AV281" s="38"/>
      <c r="AW281" s="41" t="s">
        <v>56</v>
      </c>
      <c r="AX281" s="40" t="s">
        <v>231</v>
      </c>
      <c r="AY281" s="54">
        <v>20235920009943</v>
      </c>
    </row>
    <row r="282" spans="2:51" s="37" customFormat="1" ht="17.25" customHeight="1" x14ac:dyDescent="0.25">
      <c r="B282" s="38">
        <v>281</v>
      </c>
      <c r="C282" s="39">
        <v>2023</v>
      </c>
      <c r="D282" s="40" t="s">
        <v>2297</v>
      </c>
      <c r="E282" s="41" t="s">
        <v>153</v>
      </c>
      <c r="F282" s="40" t="s">
        <v>97</v>
      </c>
      <c r="G282" s="40" t="s">
        <v>2020</v>
      </c>
      <c r="H282" s="41" t="s">
        <v>2298</v>
      </c>
      <c r="I282" s="25" t="s">
        <v>2299</v>
      </c>
      <c r="J282" s="42" t="s">
        <v>2300</v>
      </c>
      <c r="K282" s="42" t="s">
        <v>2301</v>
      </c>
      <c r="L282" s="26">
        <v>901508361</v>
      </c>
      <c r="M282" s="43">
        <v>1157</v>
      </c>
      <c r="N282" s="44">
        <v>45054</v>
      </c>
      <c r="O282" s="45">
        <v>3202929000</v>
      </c>
      <c r="P282" s="44">
        <v>45063</v>
      </c>
      <c r="Q282" s="43" t="s">
        <v>121</v>
      </c>
      <c r="R282" s="46" t="s">
        <v>121</v>
      </c>
      <c r="S282" s="45" t="s">
        <v>2302</v>
      </c>
      <c r="T282" s="46">
        <v>45064</v>
      </c>
      <c r="U282" s="45">
        <v>3202929000</v>
      </c>
      <c r="V282" s="43">
        <v>1153</v>
      </c>
      <c r="W282" s="44">
        <v>45064</v>
      </c>
      <c r="X282" s="47">
        <v>3202929000</v>
      </c>
      <c r="Y282" s="46">
        <v>47848</v>
      </c>
      <c r="Z282" s="48" t="s">
        <v>120</v>
      </c>
      <c r="AA282" s="48"/>
      <c r="AB282" s="48"/>
      <c r="AC282" s="26"/>
      <c r="AD282" s="48"/>
      <c r="AE282" s="48"/>
      <c r="AF282" s="48"/>
      <c r="AG282" s="45"/>
      <c r="AH282" s="50">
        <f>U282+AG282</f>
        <v>3202929000</v>
      </c>
      <c r="AI282" s="48"/>
      <c r="AJ282" s="48"/>
      <c r="AK282" s="48"/>
      <c r="AL282" s="42"/>
      <c r="AM282" s="48"/>
      <c r="AN282" s="48"/>
      <c r="AO282" s="38"/>
      <c r="AP282" s="38"/>
      <c r="AQ282" s="38"/>
      <c r="AR282" s="38"/>
      <c r="AS282" s="38"/>
      <c r="AT282" s="51"/>
      <c r="AU282" s="52"/>
      <c r="AV282" s="38"/>
      <c r="AW282" s="41" t="s">
        <v>56</v>
      </c>
      <c r="AX282" s="40" t="s">
        <v>337</v>
      </c>
      <c r="AY282" s="54">
        <v>20235920005823</v>
      </c>
    </row>
    <row r="283" spans="2:51" s="37" customFormat="1" ht="17.25" customHeight="1" x14ac:dyDescent="0.25">
      <c r="B283" s="38">
        <v>282</v>
      </c>
      <c r="C283" s="39">
        <v>2023</v>
      </c>
      <c r="D283" s="40" t="s">
        <v>2303</v>
      </c>
      <c r="E283" s="41" t="s">
        <v>2010</v>
      </c>
      <c r="F283" s="40" t="s">
        <v>97</v>
      </c>
      <c r="G283" s="40" t="s">
        <v>98</v>
      </c>
      <c r="H283" s="41" t="s">
        <v>2304</v>
      </c>
      <c r="I283" s="25" t="s">
        <v>2305</v>
      </c>
      <c r="J283" s="42" t="s">
        <v>509</v>
      </c>
      <c r="K283" s="42" t="s">
        <v>2306</v>
      </c>
      <c r="L283" s="26">
        <v>79826394</v>
      </c>
      <c r="M283" s="43">
        <v>1160</v>
      </c>
      <c r="N283" s="44">
        <v>45061</v>
      </c>
      <c r="O283" s="45">
        <v>20250000</v>
      </c>
      <c r="P283" s="46">
        <v>45062</v>
      </c>
      <c r="Q283" s="40" t="s">
        <v>2307</v>
      </c>
      <c r="R283" s="46">
        <v>45063</v>
      </c>
      <c r="S283" s="45" t="s">
        <v>162</v>
      </c>
      <c r="T283" s="46">
        <v>45070</v>
      </c>
      <c r="U283" s="45">
        <v>20250000</v>
      </c>
      <c r="V283" s="43">
        <v>1152</v>
      </c>
      <c r="W283" s="44">
        <v>45063</v>
      </c>
      <c r="X283" s="47">
        <v>20250000</v>
      </c>
      <c r="Y283" s="46">
        <v>45291</v>
      </c>
      <c r="Z283" s="48" t="s">
        <v>120</v>
      </c>
      <c r="AA283" s="48"/>
      <c r="AB283" s="48"/>
      <c r="AC283" s="26"/>
      <c r="AD283" s="48"/>
      <c r="AE283" s="48"/>
      <c r="AF283" s="48"/>
      <c r="AG283" s="45"/>
      <c r="AH283" s="50">
        <f>U283+AG283</f>
        <v>20250000</v>
      </c>
      <c r="AI283" s="48"/>
      <c r="AJ283" s="48"/>
      <c r="AK283" s="48"/>
      <c r="AL283" s="42"/>
      <c r="AM283" s="48"/>
      <c r="AN283" s="48"/>
      <c r="AO283" s="38"/>
      <c r="AP283" s="38"/>
      <c r="AQ283" s="38"/>
      <c r="AR283" s="38"/>
      <c r="AS283" s="38"/>
      <c r="AT283" s="51"/>
      <c r="AU283" s="52"/>
      <c r="AV283" s="38"/>
      <c r="AW283" s="41" t="s">
        <v>56</v>
      </c>
      <c r="AX283" s="40" t="s">
        <v>271</v>
      </c>
      <c r="AY283" s="54">
        <v>20235920008463</v>
      </c>
    </row>
    <row r="284" spans="2:51" s="37" customFormat="1" ht="17.25" customHeight="1" x14ac:dyDescent="0.25">
      <c r="B284" s="38">
        <v>283</v>
      </c>
      <c r="C284" s="39">
        <v>2023</v>
      </c>
      <c r="D284" s="40" t="s">
        <v>2308</v>
      </c>
      <c r="E284" s="41" t="s">
        <v>153</v>
      </c>
      <c r="F284" s="40" t="s">
        <v>2309</v>
      </c>
      <c r="G284" s="40" t="s">
        <v>98</v>
      </c>
      <c r="H284" s="59" t="s">
        <v>2310</v>
      </c>
      <c r="I284" s="25" t="s">
        <v>2311</v>
      </c>
      <c r="J284" s="42" t="s">
        <v>2312</v>
      </c>
      <c r="K284" s="42" t="s">
        <v>2313</v>
      </c>
      <c r="L284" s="26">
        <v>900300970</v>
      </c>
      <c r="M284" s="43">
        <v>1158</v>
      </c>
      <c r="N284" s="44">
        <v>45057</v>
      </c>
      <c r="O284" s="45">
        <v>30820276</v>
      </c>
      <c r="P284" s="46">
        <v>45065</v>
      </c>
      <c r="Q284" s="43" t="s">
        <v>2314</v>
      </c>
      <c r="R284" s="46">
        <v>45071</v>
      </c>
      <c r="S284" s="45" t="s">
        <v>2315</v>
      </c>
      <c r="T284" s="46">
        <v>45071</v>
      </c>
      <c r="U284" s="45">
        <v>30820276</v>
      </c>
      <c r="V284" s="43">
        <v>1155</v>
      </c>
      <c r="W284" s="44">
        <v>45068</v>
      </c>
      <c r="X284" s="47">
        <v>30820276</v>
      </c>
      <c r="Y284" s="46">
        <v>45162</v>
      </c>
      <c r="Z284" s="48" t="s">
        <v>120</v>
      </c>
      <c r="AA284" s="48" t="s">
        <v>121</v>
      </c>
      <c r="AB284" s="48" t="s">
        <v>121</v>
      </c>
      <c r="AC284" s="26" t="s">
        <v>121</v>
      </c>
      <c r="AD284" s="48" t="s">
        <v>121</v>
      </c>
      <c r="AE284" s="48" t="s">
        <v>121</v>
      </c>
      <c r="AF284" s="48" t="s">
        <v>121</v>
      </c>
      <c r="AG284" s="56" t="s">
        <v>121</v>
      </c>
      <c r="AH284" s="50" t="s">
        <v>121</v>
      </c>
      <c r="AI284" s="48" t="s">
        <v>121</v>
      </c>
      <c r="AJ284" s="39" t="s">
        <v>121</v>
      </c>
      <c r="AK284" s="39" t="s">
        <v>121</v>
      </c>
      <c r="AL284" s="39" t="s">
        <v>121</v>
      </c>
      <c r="AM284" s="39" t="s">
        <v>121</v>
      </c>
      <c r="AN284" s="39" t="s">
        <v>121</v>
      </c>
      <c r="AO284" s="39" t="s">
        <v>121</v>
      </c>
      <c r="AP284" s="39" t="s">
        <v>121</v>
      </c>
      <c r="AQ284" s="39" t="s">
        <v>121</v>
      </c>
      <c r="AR284" s="39" t="s">
        <v>121</v>
      </c>
      <c r="AS284" s="39" t="s">
        <v>121</v>
      </c>
      <c r="AT284" s="39" t="s">
        <v>121</v>
      </c>
      <c r="AU284" s="58" t="s">
        <v>121</v>
      </c>
      <c r="AV284" s="38" t="s">
        <v>121</v>
      </c>
      <c r="AW284" s="41" t="s">
        <v>122</v>
      </c>
      <c r="AX284" s="40" t="s">
        <v>529</v>
      </c>
      <c r="AY284" s="54">
        <v>20235920005993</v>
      </c>
    </row>
    <row r="285" spans="2:51" s="37" customFormat="1" ht="17.25" customHeight="1" x14ac:dyDescent="0.25">
      <c r="B285" s="38">
        <v>284</v>
      </c>
      <c r="C285" s="39">
        <v>2023</v>
      </c>
      <c r="D285" s="40" t="s">
        <v>2316</v>
      </c>
      <c r="E285" s="41" t="s">
        <v>199</v>
      </c>
      <c r="F285" s="40" t="s">
        <v>97</v>
      </c>
      <c r="G285" s="40" t="s">
        <v>98</v>
      </c>
      <c r="H285" s="41" t="s">
        <v>2317</v>
      </c>
      <c r="I285" s="25" t="s">
        <v>2318</v>
      </c>
      <c r="J285" s="42" t="s">
        <v>2319</v>
      </c>
      <c r="K285" s="42" t="s">
        <v>2320</v>
      </c>
      <c r="L285" s="26">
        <v>1032499134</v>
      </c>
      <c r="M285" s="43">
        <v>1155</v>
      </c>
      <c r="N285" s="44">
        <v>45051</v>
      </c>
      <c r="O285" s="45">
        <v>33900000</v>
      </c>
      <c r="P285" s="46">
        <v>45071</v>
      </c>
      <c r="Q285" s="43" t="s">
        <v>2321</v>
      </c>
      <c r="R285" s="46">
        <v>45072</v>
      </c>
      <c r="S285" s="45" t="s">
        <v>162</v>
      </c>
      <c r="T285" s="46">
        <v>45072</v>
      </c>
      <c r="U285" s="45">
        <v>33900000</v>
      </c>
      <c r="V285" s="43">
        <v>1156</v>
      </c>
      <c r="W285" s="44">
        <v>45072</v>
      </c>
      <c r="X285" s="47">
        <v>33900000</v>
      </c>
      <c r="Y285" s="46">
        <v>45301</v>
      </c>
      <c r="Z285" s="48" t="s">
        <v>120</v>
      </c>
      <c r="AA285" s="48"/>
      <c r="AB285" s="48"/>
      <c r="AC285" s="26"/>
      <c r="AD285" s="48"/>
      <c r="AE285" s="48"/>
      <c r="AF285" s="48"/>
      <c r="AG285" s="45"/>
      <c r="AH285" s="50">
        <f>U285+AG285</f>
        <v>33900000</v>
      </c>
      <c r="AI285" s="48"/>
      <c r="AJ285" s="48"/>
      <c r="AK285" s="48"/>
      <c r="AL285" s="42"/>
      <c r="AM285" s="48"/>
      <c r="AN285" s="48"/>
      <c r="AO285" s="38"/>
      <c r="AP285" s="38"/>
      <c r="AQ285" s="38"/>
      <c r="AR285" s="38"/>
      <c r="AS285" s="38"/>
      <c r="AT285" s="51"/>
      <c r="AU285" s="52"/>
      <c r="AV285" s="38"/>
      <c r="AW285" s="41" t="s">
        <v>56</v>
      </c>
      <c r="AX285" s="40" t="s">
        <v>231</v>
      </c>
      <c r="AY285" s="54">
        <v>20235920009003</v>
      </c>
    </row>
    <row r="286" spans="2:51" s="37" customFormat="1" ht="26.25" x14ac:dyDescent="0.25">
      <c r="B286" s="38">
        <v>285</v>
      </c>
      <c r="C286" s="39">
        <v>2023</v>
      </c>
      <c r="D286" s="40" t="s">
        <v>2322</v>
      </c>
      <c r="E286" s="41" t="s">
        <v>96</v>
      </c>
      <c r="F286" s="60" t="s">
        <v>2323</v>
      </c>
      <c r="G286" s="40" t="s">
        <v>2324</v>
      </c>
      <c r="H286" s="41" t="s">
        <v>2325</v>
      </c>
      <c r="I286" s="25" t="s">
        <v>2326</v>
      </c>
      <c r="J286" s="42" t="s">
        <v>2327</v>
      </c>
      <c r="K286" s="42" t="s">
        <v>2328</v>
      </c>
      <c r="L286" s="42" t="s">
        <v>2329</v>
      </c>
      <c r="M286" s="43">
        <v>1147</v>
      </c>
      <c r="N286" s="44">
        <v>45035</v>
      </c>
      <c r="O286" s="45">
        <v>836752893</v>
      </c>
      <c r="P286" s="46">
        <v>45100</v>
      </c>
      <c r="Q286" s="43" t="s">
        <v>2330</v>
      </c>
      <c r="R286" s="46">
        <v>45100</v>
      </c>
      <c r="S286" s="45" t="s">
        <v>2331</v>
      </c>
      <c r="T286" s="46">
        <v>45100</v>
      </c>
      <c r="U286" s="45">
        <v>836094982</v>
      </c>
      <c r="V286" s="46" t="s">
        <v>2332</v>
      </c>
      <c r="W286" s="44">
        <v>45099</v>
      </c>
      <c r="X286" s="47">
        <f>19178136+654273232</f>
        <v>673451368</v>
      </c>
      <c r="Y286" s="46">
        <v>45341</v>
      </c>
      <c r="Z286" s="48" t="s">
        <v>120</v>
      </c>
      <c r="AA286" s="48"/>
      <c r="AB286" s="48"/>
      <c r="AC286" s="26"/>
      <c r="AD286" s="48"/>
      <c r="AE286" s="48"/>
      <c r="AF286" s="48"/>
      <c r="AG286" s="45"/>
      <c r="AH286" s="50">
        <f>U286+AG286</f>
        <v>836094982</v>
      </c>
      <c r="AI286" s="48"/>
      <c r="AJ286" s="48"/>
      <c r="AK286" s="48"/>
      <c r="AL286" s="42"/>
      <c r="AM286" s="48"/>
      <c r="AN286" s="48"/>
      <c r="AO286" s="38"/>
      <c r="AP286" s="38"/>
      <c r="AQ286" s="38"/>
      <c r="AR286" s="38"/>
      <c r="AS286" s="38"/>
      <c r="AT286" s="51"/>
      <c r="AU286" s="52"/>
      <c r="AV286" s="38"/>
      <c r="AW286" s="41" t="s">
        <v>56</v>
      </c>
      <c r="AX286" s="40" t="s">
        <v>271</v>
      </c>
      <c r="AY286" s="54">
        <v>20235920006673</v>
      </c>
    </row>
    <row r="287" spans="2:51" s="37" customFormat="1" ht="38.25" x14ac:dyDescent="0.25">
      <c r="B287" s="38">
        <v>286</v>
      </c>
      <c r="C287" s="39">
        <v>2023</v>
      </c>
      <c r="D287" s="40" t="s">
        <v>2333</v>
      </c>
      <c r="E287" s="41" t="s">
        <v>324</v>
      </c>
      <c r="F287" s="40" t="s">
        <v>2334</v>
      </c>
      <c r="G287" s="40" t="s">
        <v>98</v>
      </c>
      <c r="H287" s="41" t="s">
        <v>2335</v>
      </c>
      <c r="I287" s="25" t="s">
        <v>2336</v>
      </c>
      <c r="J287" s="42" t="s">
        <v>2337</v>
      </c>
      <c r="K287" s="42" t="s">
        <v>2338</v>
      </c>
      <c r="L287" s="26">
        <v>901004007</v>
      </c>
      <c r="M287" s="43">
        <v>1167</v>
      </c>
      <c r="N287" s="44">
        <v>45069</v>
      </c>
      <c r="O287" s="45">
        <v>82000000</v>
      </c>
      <c r="P287" s="46">
        <v>45120</v>
      </c>
      <c r="Q287" s="61" t="s">
        <v>2339</v>
      </c>
      <c r="R287" s="46">
        <v>45126</v>
      </c>
      <c r="S287" s="45" t="s">
        <v>1573</v>
      </c>
      <c r="T287" s="46">
        <v>45128</v>
      </c>
      <c r="U287" s="45">
        <v>69610756</v>
      </c>
      <c r="V287" s="57">
        <v>1227</v>
      </c>
      <c r="W287" s="44">
        <v>45124</v>
      </c>
      <c r="X287" s="45">
        <v>69610756</v>
      </c>
      <c r="Y287" s="46">
        <v>45342</v>
      </c>
      <c r="Z287" s="48" t="s">
        <v>120</v>
      </c>
      <c r="AA287" s="48"/>
      <c r="AB287" s="48"/>
      <c r="AC287" s="26"/>
      <c r="AD287" s="48"/>
      <c r="AE287" s="48"/>
      <c r="AF287" s="48"/>
      <c r="AG287" s="45"/>
      <c r="AH287" s="50">
        <f>U287+AG287</f>
        <v>69610756</v>
      </c>
      <c r="AI287" s="48"/>
      <c r="AJ287" s="48"/>
      <c r="AK287" s="48"/>
      <c r="AL287" s="42"/>
      <c r="AM287" s="48"/>
      <c r="AN287" s="48"/>
      <c r="AO287" s="38"/>
      <c r="AP287" s="38"/>
      <c r="AQ287" s="38"/>
      <c r="AR287" s="38"/>
      <c r="AS287" s="38"/>
      <c r="AT287" s="51"/>
      <c r="AU287" s="52"/>
      <c r="AV287" s="38"/>
      <c r="AW287" s="41" t="s">
        <v>56</v>
      </c>
      <c r="AX287" s="54" t="s">
        <v>271</v>
      </c>
      <c r="AY287" s="54">
        <v>20235920007613</v>
      </c>
    </row>
    <row r="288" spans="2:51" s="37" customFormat="1" ht="26.25" x14ac:dyDescent="0.25">
      <c r="B288" s="38">
        <v>287</v>
      </c>
      <c r="C288" s="39">
        <v>2023</v>
      </c>
      <c r="D288" s="40" t="s">
        <v>2340</v>
      </c>
      <c r="E288" s="41" t="s">
        <v>2010</v>
      </c>
      <c r="F288" s="40" t="s">
        <v>97</v>
      </c>
      <c r="G288" s="40" t="s">
        <v>98</v>
      </c>
      <c r="H288" s="41" t="s">
        <v>2341</v>
      </c>
      <c r="I288" s="25" t="s">
        <v>2342</v>
      </c>
      <c r="J288" s="42" t="s">
        <v>2343</v>
      </c>
      <c r="K288" s="42" t="s">
        <v>2344</v>
      </c>
      <c r="L288" s="26">
        <v>52261860</v>
      </c>
      <c r="M288" s="43">
        <v>1163</v>
      </c>
      <c r="N288" s="44">
        <v>45065</v>
      </c>
      <c r="O288" s="45">
        <v>7800000</v>
      </c>
      <c r="P288" s="46">
        <v>45078</v>
      </c>
      <c r="Q288" s="43" t="s">
        <v>2345</v>
      </c>
      <c r="R288" s="46">
        <v>45079</v>
      </c>
      <c r="S288" s="45" t="s">
        <v>2346</v>
      </c>
      <c r="T288" s="46">
        <v>45083</v>
      </c>
      <c r="U288" s="45">
        <v>39000000</v>
      </c>
      <c r="V288" s="43">
        <v>1159</v>
      </c>
      <c r="W288" s="44">
        <v>45079</v>
      </c>
      <c r="X288" s="47">
        <v>39000000</v>
      </c>
      <c r="Y288" s="46">
        <v>45280</v>
      </c>
      <c r="Z288" s="48" t="s">
        <v>109</v>
      </c>
      <c r="AA288" s="49">
        <v>45140</v>
      </c>
      <c r="AB288" s="48" t="s">
        <v>2347</v>
      </c>
      <c r="AC288" s="26">
        <v>1085049031</v>
      </c>
      <c r="AD288" s="48" t="s">
        <v>2348</v>
      </c>
      <c r="AE288" s="49">
        <v>45142</v>
      </c>
      <c r="AF288" s="48"/>
      <c r="AG288" s="45"/>
      <c r="AH288" s="50">
        <f>U288+AG288</f>
        <v>39000000</v>
      </c>
      <c r="AI288" s="48"/>
      <c r="AJ288" s="48"/>
      <c r="AK288" s="48"/>
      <c r="AL288" s="42"/>
      <c r="AM288" s="48"/>
      <c r="AN288" s="48"/>
      <c r="AO288" s="38"/>
      <c r="AP288" s="38"/>
      <c r="AQ288" s="38"/>
      <c r="AR288" s="38"/>
      <c r="AS288" s="38"/>
      <c r="AT288" s="51"/>
      <c r="AU288" s="52"/>
      <c r="AV288" s="38"/>
      <c r="AW288" s="41" t="s">
        <v>137</v>
      </c>
      <c r="AX288" s="40" t="s">
        <v>145</v>
      </c>
      <c r="AY288" s="54">
        <v>20235920006343</v>
      </c>
    </row>
    <row r="289" spans="2:51" s="37" customFormat="1" ht="17.25" customHeight="1" x14ac:dyDescent="0.25">
      <c r="B289" s="38">
        <v>288</v>
      </c>
      <c r="C289" s="39">
        <v>2023</v>
      </c>
      <c r="D289" s="40" t="s">
        <v>2349</v>
      </c>
      <c r="E289" s="41" t="s">
        <v>2010</v>
      </c>
      <c r="F289" s="40" t="s">
        <v>97</v>
      </c>
      <c r="G289" s="40" t="s">
        <v>98</v>
      </c>
      <c r="H289" s="41" t="s">
        <v>2350</v>
      </c>
      <c r="I289" s="25" t="s">
        <v>2351</v>
      </c>
      <c r="J289" s="42" t="s">
        <v>2343</v>
      </c>
      <c r="K289" s="42" t="s">
        <v>2352</v>
      </c>
      <c r="L289" s="26">
        <v>1110504217</v>
      </c>
      <c r="M289" s="43">
        <v>1163</v>
      </c>
      <c r="N289" s="44">
        <v>45065</v>
      </c>
      <c r="O289" s="45">
        <v>7800000</v>
      </c>
      <c r="P289" s="46">
        <v>45078</v>
      </c>
      <c r="Q289" s="43" t="s">
        <v>2353</v>
      </c>
      <c r="R289" s="46">
        <v>45079</v>
      </c>
      <c r="S289" s="45" t="s">
        <v>2346</v>
      </c>
      <c r="T289" s="46">
        <v>45083</v>
      </c>
      <c r="U289" s="45">
        <v>39000000</v>
      </c>
      <c r="V289" s="43">
        <v>1160</v>
      </c>
      <c r="W289" s="44">
        <v>45079</v>
      </c>
      <c r="X289" s="47">
        <v>39000000</v>
      </c>
      <c r="Y289" s="46">
        <v>45280</v>
      </c>
      <c r="Z289" s="48" t="s">
        <v>120</v>
      </c>
      <c r="AA289" s="48"/>
      <c r="AB289" s="48"/>
      <c r="AC289" s="26"/>
      <c r="AD289" s="48"/>
      <c r="AE289" s="48"/>
      <c r="AF289" s="48"/>
      <c r="AG289" s="45"/>
      <c r="AH289" s="50">
        <f>U289+AG289</f>
        <v>39000000</v>
      </c>
      <c r="AI289" s="48"/>
      <c r="AJ289" s="48"/>
      <c r="AK289" s="48"/>
      <c r="AL289" s="42"/>
      <c r="AM289" s="48"/>
      <c r="AN289" s="48"/>
      <c r="AO289" s="38"/>
      <c r="AP289" s="38"/>
      <c r="AQ289" s="38"/>
      <c r="AR289" s="38"/>
      <c r="AS289" s="38"/>
      <c r="AT289" s="51"/>
      <c r="AU289" s="52"/>
      <c r="AV289" s="38"/>
      <c r="AW289" s="41" t="s">
        <v>56</v>
      </c>
      <c r="AX289" s="40" t="s">
        <v>145</v>
      </c>
      <c r="AY289" s="54">
        <v>20235920006353</v>
      </c>
    </row>
    <row r="290" spans="2:51" s="37" customFormat="1" ht="26.25" x14ac:dyDescent="0.25">
      <c r="B290" s="38">
        <v>289</v>
      </c>
      <c r="C290" s="39">
        <v>2023</v>
      </c>
      <c r="D290" s="40" t="s">
        <v>2354</v>
      </c>
      <c r="E290" s="41" t="s">
        <v>113</v>
      </c>
      <c r="F290" s="40" t="s">
        <v>97</v>
      </c>
      <c r="G290" s="40" t="s">
        <v>98</v>
      </c>
      <c r="H290" s="41" t="s">
        <v>2355</v>
      </c>
      <c r="I290" s="25" t="s">
        <v>2356</v>
      </c>
      <c r="J290" s="42" t="s">
        <v>2357</v>
      </c>
      <c r="K290" s="42" t="s">
        <v>2358</v>
      </c>
      <c r="L290" s="26">
        <v>1072660701</v>
      </c>
      <c r="M290" s="43">
        <v>1166</v>
      </c>
      <c r="N290" s="44">
        <v>45065</v>
      </c>
      <c r="O290" s="45">
        <v>38700000</v>
      </c>
      <c r="P290" s="46">
        <v>45084</v>
      </c>
      <c r="Q290" s="43" t="s">
        <v>2359</v>
      </c>
      <c r="R290" s="46">
        <v>45090</v>
      </c>
      <c r="S290" s="45" t="s">
        <v>162</v>
      </c>
      <c r="T290" s="46">
        <v>45093</v>
      </c>
      <c r="U290" s="45">
        <v>38700000</v>
      </c>
      <c r="V290" s="43">
        <v>1169</v>
      </c>
      <c r="W290" s="44">
        <v>45093</v>
      </c>
      <c r="X290" s="47">
        <v>38700000</v>
      </c>
      <c r="Y290" s="46">
        <v>45321</v>
      </c>
      <c r="Z290" s="48" t="s">
        <v>120</v>
      </c>
      <c r="AA290" s="48"/>
      <c r="AB290" s="48"/>
      <c r="AC290" s="26"/>
      <c r="AD290" s="48"/>
      <c r="AE290" s="48"/>
      <c r="AF290" s="48"/>
      <c r="AG290" s="45"/>
      <c r="AH290" s="50">
        <f>U290+AG290</f>
        <v>38700000</v>
      </c>
      <c r="AI290" s="48"/>
      <c r="AJ290" s="48"/>
      <c r="AK290" s="48"/>
      <c r="AL290" s="42"/>
      <c r="AM290" s="48"/>
      <c r="AN290" s="48"/>
      <c r="AO290" s="38"/>
      <c r="AP290" s="38"/>
      <c r="AQ290" s="38"/>
      <c r="AR290" s="38"/>
      <c r="AS290" s="38"/>
      <c r="AT290" s="51"/>
      <c r="AU290" s="52"/>
      <c r="AV290" s="38"/>
      <c r="AW290" s="41" t="s">
        <v>56</v>
      </c>
      <c r="AX290" s="54" t="s">
        <v>467</v>
      </c>
      <c r="AY290" s="54">
        <v>20235920006623</v>
      </c>
    </row>
    <row r="291" spans="2:51" s="37" customFormat="1" ht="17.25" customHeight="1" x14ac:dyDescent="0.25">
      <c r="B291" s="38">
        <v>290</v>
      </c>
      <c r="C291" s="39">
        <v>2023</v>
      </c>
      <c r="D291" s="40" t="s">
        <v>2360</v>
      </c>
      <c r="E291" s="41" t="s">
        <v>96</v>
      </c>
      <c r="F291" s="40" t="s">
        <v>97</v>
      </c>
      <c r="G291" s="40" t="s">
        <v>98</v>
      </c>
      <c r="H291" s="41" t="s">
        <v>2361</v>
      </c>
      <c r="I291" s="25" t="s">
        <v>2362</v>
      </c>
      <c r="J291" s="42" t="s">
        <v>2363</v>
      </c>
      <c r="K291" s="42" t="s">
        <v>2364</v>
      </c>
      <c r="L291" s="26">
        <v>1071167676</v>
      </c>
      <c r="M291" s="43">
        <v>1154</v>
      </c>
      <c r="N291" s="44">
        <v>45051</v>
      </c>
      <c r="O291" s="45">
        <v>27000000</v>
      </c>
      <c r="P291" s="46">
        <v>45079</v>
      </c>
      <c r="Q291" s="43" t="s">
        <v>2365</v>
      </c>
      <c r="R291" s="46">
        <v>45079</v>
      </c>
      <c r="S291" s="45" t="s">
        <v>2366</v>
      </c>
      <c r="T291" s="46">
        <v>45079</v>
      </c>
      <c r="U291" s="45">
        <v>24600000</v>
      </c>
      <c r="V291" s="43">
        <v>1161</v>
      </c>
      <c r="W291" s="44">
        <v>45079</v>
      </c>
      <c r="X291" s="47">
        <v>24600000</v>
      </c>
      <c r="Y291" s="46">
        <v>45286</v>
      </c>
      <c r="Z291" s="48" t="s">
        <v>120</v>
      </c>
      <c r="AA291" s="48"/>
      <c r="AB291" s="48"/>
      <c r="AC291" s="26"/>
      <c r="AD291" s="48"/>
      <c r="AE291" s="48"/>
      <c r="AF291" s="48"/>
      <c r="AG291" s="45"/>
      <c r="AH291" s="50">
        <f>U291+AG291</f>
        <v>24600000</v>
      </c>
      <c r="AI291" s="48"/>
      <c r="AJ291" s="48"/>
      <c r="AK291" s="48"/>
      <c r="AL291" s="42"/>
      <c r="AM291" s="48"/>
      <c r="AN291" s="48"/>
      <c r="AO291" s="38"/>
      <c r="AP291" s="38"/>
      <c r="AQ291" s="38"/>
      <c r="AR291" s="38"/>
      <c r="AS291" s="38"/>
      <c r="AT291" s="51"/>
      <c r="AU291" s="52"/>
      <c r="AV291" s="38"/>
      <c r="AW291" s="41" t="s">
        <v>56</v>
      </c>
      <c r="AX291" s="54" t="s">
        <v>111</v>
      </c>
      <c r="AY291" s="54">
        <v>20235920006263</v>
      </c>
    </row>
    <row r="292" spans="2:51" s="37" customFormat="1" ht="17.25" customHeight="1" x14ac:dyDescent="0.25">
      <c r="B292" s="38">
        <v>291</v>
      </c>
      <c r="C292" s="39">
        <v>2023</v>
      </c>
      <c r="D292" s="40" t="s">
        <v>2367</v>
      </c>
      <c r="E292" s="41" t="s">
        <v>199</v>
      </c>
      <c r="F292" s="40" t="s">
        <v>97</v>
      </c>
      <c r="G292" s="40" t="s">
        <v>2368</v>
      </c>
      <c r="H292" s="41" t="s">
        <v>2369</v>
      </c>
      <c r="I292" s="25" t="s">
        <v>2370</v>
      </c>
      <c r="J292" s="42" t="s">
        <v>2371</v>
      </c>
      <c r="K292" s="42" t="s">
        <v>2372</v>
      </c>
      <c r="L292" s="26">
        <v>899999063</v>
      </c>
      <c r="M292" s="43">
        <v>1173</v>
      </c>
      <c r="N292" s="44">
        <v>45077</v>
      </c>
      <c r="O292" s="45">
        <v>645099000</v>
      </c>
      <c r="P292" s="46">
        <v>45084</v>
      </c>
      <c r="Q292" s="43" t="s">
        <v>2373</v>
      </c>
      <c r="R292" s="46">
        <v>45097</v>
      </c>
      <c r="S292" s="45" t="s">
        <v>119</v>
      </c>
      <c r="T292" s="46">
        <v>45097</v>
      </c>
      <c r="U292" s="45">
        <v>645099000</v>
      </c>
      <c r="V292" s="43">
        <v>1163</v>
      </c>
      <c r="W292" s="44">
        <v>45086</v>
      </c>
      <c r="X292" s="47">
        <v>645099000</v>
      </c>
      <c r="Y292" s="46">
        <v>45249</v>
      </c>
      <c r="Z292" s="48" t="s">
        <v>120</v>
      </c>
      <c r="AA292" s="48"/>
      <c r="AB292" s="48"/>
      <c r="AC292" s="26"/>
      <c r="AD292" s="48"/>
      <c r="AE292" s="48"/>
      <c r="AF292" s="48"/>
      <c r="AG292" s="45"/>
      <c r="AH292" s="50">
        <f>U292+AG292</f>
        <v>645099000</v>
      </c>
      <c r="AI292" s="48"/>
      <c r="AJ292" s="48"/>
      <c r="AK292" s="48"/>
      <c r="AL292" s="42"/>
      <c r="AM292" s="48"/>
      <c r="AN292" s="48"/>
      <c r="AO292" s="38"/>
      <c r="AP292" s="38"/>
      <c r="AQ292" s="38"/>
      <c r="AR292" s="38"/>
      <c r="AS292" s="38"/>
      <c r="AT292" s="51"/>
      <c r="AU292" s="52"/>
      <c r="AV292" s="38"/>
      <c r="AW292" s="41" t="s">
        <v>56</v>
      </c>
      <c r="AX292" s="54" t="s">
        <v>231</v>
      </c>
      <c r="AY292" s="54">
        <v>20235920006653</v>
      </c>
    </row>
    <row r="293" spans="2:51" s="37" customFormat="1" ht="17.25" customHeight="1" x14ac:dyDescent="0.25">
      <c r="B293" s="38">
        <v>292</v>
      </c>
      <c r="C293" s="39">
        <v>2023</v>
      </c>
      <c r="D293" s="40" t="s">
        <v>2374</v>
      </c>
      <c r="E293" s="41" t="s">
        <v>113</v>
      </c>
      <c r="F293" s="40" t="s">
        <v>97</v>
      </c>
      <c r="G293" s="40" t="s">
        <v>2020</v>
      </c>
      <c r="H293" s="41" t="s">
        <v>2375</v>
      </c>
      <c r="I293" s="25" t="s">
        <v>2376</v>
      </c>
      <c r="J293" s="42" t="s">
        <v>2377</v>
      </c>
      <c r="K293" s="42" t="s">
        <v>2378</v>
      </c>
      <c r="L293" s="26">
        <v>800250713</v>
      </c>
      <c r="M293" s="43">
        <v>1172</v>
      </c>
      <c r="N293" s="44">
        <v>45077</v>
      </c>
      <c r="O293" s="45">
        <v>952380000</v>
      </c>
      <c r="P293" s="46">
        <v>45086</v>
      </c>
      <c r="Q293" s="43" t="s">
        <v>2379</v>
      </c>
      <c r="R293" s="46">
        <v>45097</v>
      </c>
      <c r="S293" s="45" t="s">
        <v>1393</v>
      </c>
      <c r="T293" s="46">
        <v>45097</v>
      </c>
      <c r="U293" s="45">
        <v>1267200000</v>
      </c>
      <c r="V293" s="43">
        <v>1171</v>
      </c>
      <c r="W293" s="44">
        <v>45093</v>
      </c>
      <c r="X293" s="47">
        <v>952380000</v>
      </c>
      <c r="Y293" s="46">
        <v>45462</v>
      </c>
      <c r="Z293" s="48" t="s">
        <v>120</v>
      </c>
      <c r="AA293" s="48"/>
      <c r="AB293" s="48"/>
      <c r="AC293" s="26"/>
      <c r="AD293" s="48"/>
      <c r="AE293" s="48"/>
      <c r="AF293" s="48"/>
      <c r="AG293" s="45"/>
      <c r="AH293" s="50">
        <f>U293+AG293</f>
        <v>1267200000</v>
      </c>
      <c r="AI293" s="48"/>
      <c r="AJ293" s="48"/>
      <c r="AK293" s="48"/>
      <c r="AL293" s="42"/>
      <c r="AM293" s="48"/>
      <c r="AN293" s="48"/>
      <c r="AO293" s="38"/>
      <c r="AP293" s="38"/>
      <c r="AQ293" s="38"/>
      <c r="AR293" s="38"/>
      <c r="AS293" s="38"/>
      <c r="AT293" s="51"/>
      <c r="AU293" s="52"/>
      <c r="AV293" s="38"/>
      <c r="AW293" s="41" t="s">
        <v>56</v>
      </c>
      <c r="AX293" s="54" t="s">
        <v>566</v>
      </c>
      <c r="AY293" s="54">
        <v>20235920006733</v>
      </c>
    </row>
    <row r="294" spans="2:51" s="37" customFormat="1" ht="39" x14ac:dyDescent="0.25">
      <c r="B294" s="38">
        <v>293</v>
      </c>
      <c r="C294" s="39">
        <v>2023</v>
      </c>
      <c r="D294" s="41" t="s">
        <v>2380</v>
      </c>
      <c r="E294" s="41" t="s">
        <v>96</v>
      </c>
      <c r="F294" s="40" t="s">
        <v>97</v>
      </c>
      <c r="G294" s="40" t="s">
        <v>2020</v>
      </c>
      <c r="H294" s="41" t="s">
        <v>2381</v>
      </c>
      <c r="I294" s="25" t="s">
        <v>2382</v>
      </c>
      <c r="J294" s="42" t="s">
        <v>2383</v>
      </c>
      <c r="K294" s="42" t="s">
        <v>2384</v>
      </c>
      <c r="L294" s="26">
        <v>900413030</v>
      </c>
      <c r="M294" s="43" t="s">
        <v>2385</v>
      </c>
      <c r="N294" s="44">
        <v>45030</v>
      </c>
      <c r="O294" s="45">
        <f>533227777+772772222</f>
        <v>1305999999</v>
      </c>
      <c r="P294" s="44">
        <v>45040</v>
      </c>
      <c r="Q294" s="43" t="s">
        <v>121</v>
      </c>
      <c r="R294" s="43" t="s">
        <v>121</v>
      </c>
      <c r="S294" s="45" t="s">
        <v>2386</v>
      </c>
      <c r="T294" s="46">
        <v>45049</v>
      </c>
      <c r="U294" s="45">
        <v>25739012534</v>
      </c>
      <c r="V294" s="43" t="s">
        <v>2387</v>
      </c>
      <c r="W294" s="44">
        <v>45042</v>
      </c>
      <c r="X294" s="47">
        <v>1305999999</v>
      </c>
      <c r="Y294" s="46">
        <v>45504</v>
      </c>
      <c r="Z294" s="48" t="s">
        <v>120</v>
      </c>
      <c r="AA294" s="48"/>
      <c r="AB294" s="48"/>
      <c r="AC294" s="26"/>
      <c r="AD294" s="48"/>
      <c r="AE294" s="48"/>
      <c r="AF294" s="48"/>
      <c r="AG294" s="45"/>
      <c r="AH294" s="50">
        <f>U294+AG294</f>
        <v>25739012534</v>
      </c>
      <c r="AI294" s="48"/>
      <c r="AJ294" s="48"/>
      <c r="AK294" s="48"/>
      <c r="AL294" s="42"/>
      <c r="AM294" s="48"/>
      <c r="AN294" s="48"/>
      <c r="AO294" s="38"/>
      <c r="AP294" s="38"/>
      <c r="AQ294" s="38"/>
      <c r="AR294" s="38"/>
      <c r="AS294" s="38"/>
      <c r="AT294" s="51"/>
      <c r="AU294" s="52"/>
      <c r="AV294" s="38"/>
      <c r="AW294" s="41" t="s">
        <v>2026</v>
      </c>
      <c r="AX294" s="40" t="s">
        <v>1718</v>
      </c>
      <c r="AY294" s="54">
        <v>20235920005863</v>
      </c>
    </row>
    <row r="295" spans="2:51" s="37" customFormat="1" ht="30" customHeight="1" x14ac:dyDescent="0.25">
      <c r="B295" s="38">
        <v>294</v>
      </c>
      <c r="C295" s="39">
        <v>2023</v>
      </c>
      <c r="D295" s="40" t="s">
        <v>2388</v>
      </c>
      <c r="E295" s="41" t="s">
        <v>324</v>
      </c>
      <c r="F295" s="40" t="s">
        <v>2309</v>
      </c>
      <c r="G295" s="40" t="s">
        <v>98</v>
      </c>
      <c r="H295" s="41" t="s">
        <v>2389</v>
      </c>
      <c r="I295" s="25" t="s">
        <v>2390</v>
      </c>
      <c r="J295" s="42" t="s">
        <v>2391</v>
      </c>
      <c r="K295" s="42" t="s">
        <v>2392</v>
      </c>
      <c r="L295" s="26">
        <v>900627060</v>
      </c>
      <c r="M295" s="43">
        <v>1169</v>
      </c>
      <c r="N295" s="44">
        <v>45075</v>
      </c>
      <c r="O295" s="45">
        <v>30500000</v>
      </c>
      <c r="P295" s="46">
        <v>45103</v>
      </c>
      <c r="Q295" s="61" t="s">
        <v>2393</v>
      </c>
      <c r="R295" s="46">
        <v>45107</v>
      </c>
      <c r="S295" s="45" t="s">
        <v>183</v>
      </c>
      <c r="T295" s="46">
        <v>45113</v>
      </c>
      <c r="U295" s="45">
        <v>15315300</v>
      </c>
      <c r="V295" s="43">
        <v>1179</v>
      </c>
      <c r="W295" s="44">
        <v>45104</v>
      </c>
      <c r="X295" s="47">
        <v>15315300</v>
      </c>
      <c r="Y295" s="46">
        <v>45448</v>
      </c>
      <c r="Z295" s="48" t="s">
        <v>120</v>
      </c>
      <c r="AA295" s="48"/>
      <c r="AB295" s="48"/>
      <c r="AC295" s="26"/>
      <c r="AD295" s="48"/>
      <c r="AE295" s="48"/>
      <c r="AF295" s="48"/>
      <c r="AG295" s="45"/>
      <c r="AH295" s="50">
        <f>U295+AG295</f>
        <v>15315300</v>
      </c>
      <c r="AI295" s="48"/>
      <c r="AJ295" s="48"/>
      <c r="AK295" s="48"/>
      <c r="AL295" s="42"/>
      <c r="AM295" s="48"/>
      <c r="AN295" s="48"/>
      <c r="AO295" s="38"/>
      <c r="AP295" s="38"/>
      <c r="AQ295" s="38"/>
      <c r="AR295" s="38"/>
      <c r="AS295" s="38"/>
      <c r="AT295" s="51"/>
      <c r="AU295" s="52"/>
      <c r="AV295" s="38"/>
      <c r="AW295" s="41" t="s">
        <v>56</v>
      </c>
      <c r="AX295" s="54" t="s">
        <v>271</v>
      </c>
      <c r="AY295" s="54">
        <v>20235920007483</v>
      </c>
    </row>
    <row r="296" spans="2:51" s="37" customFormat="1" ht="15" x14ac:dyDescent="0.25">
      <c r="B296" s="38">
        <v>295</v>
      </c>
      <c r="C296" s="39">
        <v>2023</v>
      </c>
      <c r="D296" s="40" t="s">
        <v>2394</v>
      </c>
      <c r="E296" s="41" t="s">
        <v>2010</v>
      </c>
      <c r="F296" s="40" t="s">
        <v>97</v>
      </c>
      <c r="G296" s="40" t="s">
        <v>98</v>
      </c>
      <c r="H296" s="41" t="s">
        <v>2395</v>
      </c>
      <c r="I296" s="25" t="s">
        <v>2396</v>
      </c>
      <c r="J296" s="42" t="s">
        <v>2397</v>
      </c>
      <c r="K296" s="42" t="s">
        <v>2398</v>
      </c>
      <c r="L296" s="26">
        <v>52987995</v>
      </c>
      <c r="M296" s="43">
        <v>1193</v>
      </c>
      <c r="N296" s="44">
        <v>45090</v>
      </c>
      <c r="O296" s="45">
        <v>129600000</v>
      </c>
      <c r="P296" s="46">
        <v>45103</v>
      </c>
      <c r="Q296" s="43" t="s">
        <v>2399</v>
      </c>
      <c r="R296" s="46">
        <v>45103</v>
      </c>
      <c r="S296" s="45" t="s">
        <v>2400</v>
      </c>
      <c r="T296" s="46">
        <v>45106</v>
      </c>
      <c r="U296" s="45">
        <v>16200000</v>
      </c>
      <c r="V296" s="43">
        <v>1188</v>
      </c>
      <c r="W296" s="44">
        <v>45105</v>
      </c>
      <c r="X296" s="47">
        <v>16200000</v>
      </c>
      <c r="Y296" s="46">
        <v>45288</v>
      </c>
      <c r="Z296" s="48" t="s">
        <v>120</v>
      </c>
      <c r="AA296" s="48"/>
      <c r="AB296" s="48"/>
      <c r="AC296" s="26"/>
      <c r="AD296" s="48"/>
      <c r="AE296" s="48"/>
      <c r="AF296" s="48"/>
      <c r="AG296" s="45"/>
      <c r="AH296" s="50">
        <f>U296+AG296</f>
        <v>16200000</v>
      </c>
      <c r="AI296" s="48"/>
      <c r="AJ296" s="48"/>
      <c r="AK296" s="48"/>
      <c r="AL296" s="42"/>
      <c r="AM296" s="48"/>
      <c r="AN296" s="48"/>
      <c r="AO296" s="38"/>
      <c r="AP296" s="38"/>
      <c r="AQ296" s="38"/>
      <c r="AR296" s="38"/>
      <c r="AS296" s="38"/>
      <c r="AT296" s="51"/>
      <c r="AU296" s="52"/>
      <c r="AV296" s="38"/>
      <c r="AW296" s="41" t="s">
        <v>56</v>
      </c>
      <c r="AX296" s="54" t="s">
        <v>145</v>
      </c>
      <c r="AY296" s="54">
        <v>20235920007053</v>
      </c>
    </row>
    <row r="297" spans="2:51" s="37" customFormat="1" ht="15" x14ac:dyDescent="0.25">
      <c r="B297" s="38">
        <v>296</v>
      </c>
      <c r="C297" s="39">
        <v>2023</v>
      </c>
      <c r="D297" s="40" t="s">
        <v>2401</v>
      </c>
      <c r="E297" s="41" t="s">
        <v>2010</v>
      </c>
      <c r="F297" s="40" t="s">
        <v>97</v>
      </c>
      <c r="G297" s="40" t="s">
        <v>98</v>
      </c>
      <c r="H297" s="41" t="s">
        <v>2402</v>
      </c>
      <c r="I297" s="25" t="s">
        <v>2403</v>
      </c>
      <c r="J297" s="42" t="s">
        <v>2397</v>
      </c>
      <c r="K297" s="42" t="s">
        <v>2404</v>
      </c>
      <c r="L297" s="26">
        <v>1016039918</v>
      </c>
      <c r="M297" s="43">
        <v>1193</v>
      </c>
      <c r="N297" s="44">
        <v>45090</v>
      </c>
      <c r="O297" s="45">
        <v>129600000</v>
      </c>
      <c r="P297" s="46">
        <v>45100</v>
      </c>
      <c r="Q297" s="43" t="s">
        <v>2405</v>
      </c>
      <c r="R297" s="46">
        <v>45103</v>
      </c>
      <c r="S297" s="45" t="s">
        <v>2400</v>
      </c>
      <c r="T297" s="46">
        <v>45106</v>
      </c>
      <c r="U297" s="45">
        <v>16200000</v>
      </c>
      <c r="V297" s="43">
        <v>1187</v>
      </c>
      <c r="W297" s="44">
        <v>45105</v>
      </c>
      <c r="X297" s="47">
        <v>16200000</v>
      </c>
      <c r="Y297" s="46">
        <v>45288</v>
      </c>
      <c r="Z297" s="48" t="s">
        <v>120</v>
      </c>
      <c r="AA297" s="48"/>
      <c r="AB297" s="48"/>
      <c r="AC297" s="26"/>
      <c r="AD297" s="48"/>
      <c r="AE297" s="48"/>
      <c r="AF297" s="48"/>
      <c r="AG297" s="45"/>
      <c r="AH297" s="50">
        <f>U297+AG297</f>
        <v>16200000</v>
      </c>
      <c r="AI297" s="48"/>
      <c r="AJ297" s="48"/>
      <c r="AK297" s="48"/>
      <c r="AL297" s="42"/>
      <c r="AM297" s="48"/>
      <c r="AN297" s="48"/>
      <c r="AO297" s="38"/>
      <c r="AP297" s="38"/>
      <c r="AQ297" s="38"/>
      <c r="AR297" s="38"/>
      <c r="AS297" s="38"/>
      <c r="AT297" s="51"/>
      <c r="AU297" s="52"/>
      <c r="AV297" s="38"/>
      <c r="AW297" s="41" t="s">
        <v>56</v>
      </c>
      <c r="AX297" s="54" t="s">
        <v>145</v>
      </c>
      <c r="AY297" s="54">
        <v>20235920007053</v>
      </c>
    </row>
    <row r="298" spans="2:51" s="37" customFormat="1" ht="26.25" x14ac:dyDescent="0.25">
      <c r="B298" s="38">
        <v>297</v>
      </c>
      <c r="C298" s="39">
        <v>2023</v>
      </c>
      <c r="D298" s="40" t="s">
        <v>2406</v>
      </c>
      <c r="E298" s="41" t="s">
        <v>113</v>
      </c>
      <c r="F298" s="40" t="s">
        <v>97</v>
      </c>
      <c r="G298" s="40" t="s">
        <v>98</v>
      </c>
      <c r="H298" s="41" t="s">
        <v>2407</v>
      </c>
      <c r="I298" s="25" t="s">
        <v>2408</v>
      </c>
      <c r="J298" s="42" t="s">
        <v>2409</v>
      </c>
      <c r="K298" s="42" t="s">
        <v>2410</v>
      </c>
      <c r="L298" s="26">
        <v>1097332756</v>
      </c>
      <c r="M298" s="43">
        <v>1161</v>
      </c>
      <c r="N298" s="44">
        <v>45065</v>
      </c>
      <c r="O298" s="45">
        <v>30750000</v>
      </c>
      <c r="P298" s="46">
        <v>45086</v>
      </c>
      <c r="Q298" s="43" t="s">
        <v>2411</v>
      </c>
      <c r="R298" s="46">
        <v>45092</v>
      </c>
      <c r="S298" s="45" t="s">
        <v>162</v>
      </c>
      <c r="T298" s="46">
        <v>45093</v>
      </c>
      <c r="U298" s="45">
        <v>30750000</v>
      </c>
      <c r="V298" s="43">
        <v>1170</v>
      </c>
      <c r="W298" s="44">
        <v>45093</v>
      </c>
      <c r="X298" s="47">
        <v>30750000</v>
      </c>
      <c r="Y298" s="46">
        <v>45321</v>
      </c>
      <c r="Z298" s="48" t="s">
        <v>109</v>
      </c>
      <c r="AA298" s="48"/>
      <c r="AB298" s="48"/>
      <c r="AC298" s="26"/>
      <c r="AD298" s="48"/>
      <c r="AE298" s="48"/>
      <c r="AF298" s="48"/>
      <c r="AG298" s="45"/>
      <c r="AH298" s="50">
        <f>U298+AG298</f>
        <v>30750000</v>
      </c>
      <c r="AI298" s="48"/>
      <c r="AJ298" s="48"/>
      <c r="AK298" s="48"/>
      <c r="AL298" s="42"/>
      <c r="AM298" s="48"/>
      <c r="AN298" s="48"/>
      <c r="AO298" s="38"/>
      <c r="AP298" s="38"/>
      <c r="AQ298" s="38"/>
      <c r="AR298" s="38"/>
      <c r="AS298" s="38"/>
      <c r="AT298" s="51"/>
      <c r="AU298" s="52"/>
      <c r="AV298" s="38"/>
      <c r="AW298" s="41" t="s">
        <v>56</v>
      </c>
      <c r="AX298" s="54" t="s">
        <v>1179</v>
      </c>
      <c r="AY298" s="54">
        <v>20235920006613</v>
      </c>
    </row>
    <row r="299" spans="2:51" s="37" customFormat="1" ht="17.25" customHeight="1" x14ac:dyDescent="0.25">
      <c r="B299" s="38">
        <v>298</v>
      </c>
      <c r="C299" s="39">
        <v>2023</v>
      </c>
      <c r="D299" s="40" t="s">
        <v>2412</v>
      </c>
      <c r="E299" s="41" t="s">
        <v>199</v>
      </c>
      <c r="F299" s="40" t="s">
        <v>97</v>
      </c>
      <c r="G299" s="40" t="s">
        <v>98</v>
      </c>
      <c r="H299" s="41" t="s">
        <v>2413</v>
      </c>
      <c r="I299" s="25" t="s">
        <v>2414</v>
      </c>
      <c r="J299" s="62" t="s">
        <v>2415</v>
      </c>
      <c r="K299" s="42" t="s">
        <v>2416</v>
      </c>
      <c r="L299" s="26">
        <v>1032374068</v>
      </c>
      <c r="M299" s="43">
        <v>1171</v>
      </c>
      <c r="N299" s="44">
        <v>45077</v>
      </c>
      <c r="O299" s="45">
        <v>34450000</v>
      </c>
      <c r="P299" s="46">
        <v>45086</v>
      </c>
      <c r="Q299" s="43" t="s">
        <v>2417</v>
      </c>
      <c r="R299" s="46">
        <v>45090</v>
      </c>
      <c r="S299" s="45" t="s">
        <v>2346</v>
      </c>
      <c r="T299" s="46">
        <v>45090</v>
      </c>
      <c r="U299" s="45">
        <v>34450000</v>
      </c>
      <c r="V299" s="43">
        <v>1164</v>
      </c>
      <c r="W299" s="44">
        <v>45090</v>
      </c>
      <c r="X299" s="47">
        <v>34450000</v>
      </c>
      <c r="Y299" s="46">
        <v>45287</v>
      </c>
      <c r="Z299" s="48" t="s">
        <v>120</v>
      </c>
      <c r="AA299" s="48"/>
      <c r="AB299" s="48"/>
      <c r="AC299" s="26"/>
      <c r="AD299" s="48"/>
      <c r="AE299" s="48"/>
      <c r="AF299" s="48"/>
      <c r="AG299" s="45"/>
      <c r="AH299" s="50">
        <f>U299+AG299</f>
        <v>34450000</v>
      </c>
      <c r="AI299" s="48"/>
      <c r="AJ299" s="48"/>
      <c r="AK299" s="48"/>
      <c r="AL299" s="42"/>
      <c r="AM299" s="48"/>
      <c r="AN299" s="48"/>
      <c r="AO299" s="38"/>
      <c r="AP299" s="38"/>
      <c r="AQ299" s="38"/>
      <c r="AR299" s="38"/>
      <c r="AS299" s="38"/>
      <c r="AT299" s="51"/>
      <c r="AU299" s="52"/>
      <c r="AV299" s="38"/>
      <c r="AW299" s="41" t="s">
        <v>56</v>
      </c>
      <c r="AX299" s="54" t="s">
        <v>184</v>
      </c>
      <c r="AY299" s="54">
        <v>20235920006643</v>
      </c>
    </row>
    <row r="300" spans="2:51" s="37" customFormat="1" ht="17.25" customHeight="1" x14ac:dyDescent="0.25">
      <c r="B300" s="38">
        <v>299</v>
      </c>
      <c r="C300" s="39">
        <v>2023</v>
      </c>
      <c r="D300" s="40" t="s">
        <v>2418</v>
      </c>
      <c r="E300" s="41" t="s">
        <v>324</v>
      </c>
      <c r="F300" s="40" t="s">
        <v>97</v>
      </c>
      <c r="G300" s="40" t="s">
        <v>98</v>
      </c>
      <c r="H300" s="41" t="s">
        <v>2419</v>
      </c>
      <c r="I300" s="25" t="s">
        <v>2420</v>
      </c>
      <c r="J300" s="42" t="s">
        <v>2421</v>
      </c>
      <c r="K300" s="42" t="s">
        <v>409</v>
      </c>
      <c r="L300" s="26">
        <v>79127015</v>
      </c>
      <c r="M300" s="43">
        <v>1182</v>
      </c>
      <c r="N300" s="44">
        <v>45082</v>
      </c>
      <c r="O300" s="45">
        <v>48600000</v>
      </c>
      <c r="P300" s="46">
        <v>45091</v>
      </c>
      <c r="Q300" s="43" t="s">
        <v>2422</v>
      </c>
      <c r="R300" s="46">
        <v>45092</v>
      </c>
      <c r="S300" s="45" t="s">
        <v>2400</v>
      </c>
      <c r="T300" s="46">
        <v>45093</v>
      </c>
      <c r="U300" s="45">
        <v>16200000</v>
      </c>
      <c r="V300" s="43">
        <v>1168</v>
      </c>
      <c r="W300" s="44">
        <v>45092</v>
      </c>
      <c r="X300" s="47">
        <v>16200000</v>
      </c>
      <c r="Y300" s="46">
        <v>45275</v>
      </c>
      <c r="Z300" s="48" t="s">
        <v>120</v>
      </c>
      <c r="AA300" s="48"/>
      <c r="AB300" s="48"/>
      <c r="AC300" s="26"/>
      <c r="AD300" s="48"/>
      <c r="AE300" s="48"/>
      <c r="AF300" s="48"/>
      <c r="AG300" s="45"/>
      <c r="AH300" s="50">
        <f>U300+AG300</f>
        <v>16200000</v>
      </c>
      <c r="AI300" s="48"/>
      <c r="AJ300" s="48"/>
      <c r="AK300" s="48"/>
      <c r="AL300" s="42"/>
      <c r="AM300" s="48"/>
      <c r="AN300" s="48"/>
      <c r="AO300" s="38"/>
      <c r="AP300" s="38"/>
      <c r="AQ300" s="38"/>
      <c r="AR300" s="38"/>
      <c r="AS300" s="38"/>
      <c r="AT300" s="51"/>
      <c r="AU300" s="52"/>
      <c r="AV300" s="38"/>
      <c r="AW300" s="41" t="s">
        <v>56</v>
      </c>
      <c r="AX300" s="54" t="s">
        <v>271</v>
      </c>
      <c r="AY300" s="54">
        <v>20235920006543</v>
      </c>
    </row>
    <row r="301" spans="2:51" s="37" customFormat="1" ht="17.25" customHeight="1" x14ac:dyDescent="0.25">
      <c r="B301" s="38">
        <v>300</v>
      </c>
      <c r="C301" s="39">
        <v>2023</v>
      </c>
      <c r="D301" s="40" t="s">
        <v>2423</v>
      </c>
      <c r="E301" s="41" t="s">
        <v>324</v>
      </c>
      <c r="F301" s="40" t="s">
        <v>97</v>
      </c>
      <c r="G301" s="40" t="s">
        <v>98</v>
      </c>
      <c r="H301" s="41" t="s">
        <v>2424</v>
      </c>
      <c r="I301" s="25" t="s">
        <v>2425</v>
      </c>
      <c r="J301" s="42" t="s">
        <v>2426</v>
      </c>
      <c r="K301" s="42" t="s">
        <v>415</v>
      </c>
      <c r="L301" s="26">
        <v>79859514</v>
      </c>
      <c r="M301" s="43">
        <v>1182</v>
      </c>
      <c r="N301" s="44">
        <v>45082</v>
      </c>
      <c r="O301" s="45">
        <v>48600000</v>
      </c>
      <c r="P301" s="46">
        <v>45091</v>
      </c>
      <c r="Q301" s="43" t="s">
        <v>2427</v>
      </c>
      <c r="R301" s="46">
        <v>45092</v>
      </c>
      <c r="S301" s="45" t="s">
        <v>2400</v>
      </c>
      <c r="T301" s="46">
        <v>45092</v>
      </c>
      <c r="U301" s="45">
        <v>16200000</v>
      </c>
      <c r="V301" s="43">
        <v>1167</v>
      </c>
      <c r="W301" s="44">
        <v>45092</v>
      </c>
      <c r="X301" s="47">
        <v>16200000</v>
      </c>
      <c r="Y301" s="46">
        <v>45274</v>
      </c>
      <c r="Z301" s="48" t="s">
        <v>120</v>
      </c>
      <c r="AA301" s="48"/>
      <c r="AB301" s="48"/>
      <c r="AC301" s="26"/>
      <c r="AD301" s="48"/>
      <c r="AE301" s="48"/>
      <c r="AF301" s="48"/>
      <c r="AG301" s="45"/>
      <c r="AH301" s="50">
        <f>U301+AG301</f>
        <v>16200000</v>
      </c>
      <c r="AI301" s="48"/>
      <c r="AJ301" s="48"/>
      <c r="AK301" s="48"/>
      <c r="AL301" s="42"/>
      <c r="AM301" s="48"/>
      <c r="AN301" s="48"/>
      <c r="AO301" s="38"/>
      <c r="AP301" s="38"/>
      <c r="AQ301" s="38"/>
      <c r="AR301" s="38"/>
      <c r="AS301" s="38"/>
      <c r="AT301" s="51"/>
      <c r="AU301" s="52"/>
      <c r="AV301" s="38"/>
      <c r="AW301" s="41" t="s">
        <v>56</v>
      </c>
      <c r="AX301" s="54" t="s">
        <v>271</v>
      </c>
      <c r="AY301" s="54">
        <v>20235920006543</v>
      </c>
    </row>
    <row r="302" spans="2:51" s="37" customFormat="1" ht="17.25" customHeight="1" x14ac:dyDescent="0.25">
      <c r="B302" s="38">
        <v>301</v>
      </c>
      <c r="C302" s="39">
        <v>2023</v>
      </c>
      <c r="D302" s="40" t="s">
        <v>2428</v>
      </c>
      <c r="E302" s="41" t="s">
        <v>324</v>
      </c>
      <c r="F302" s="40" t="s">
        <v>97</v>
      </c>
      <c r="G302" s="40" t="s">
        <v>98</v>
      </c>
      <c r="H302" s="41" t="s">
        <v>2429</v>
      </c>
      <c r="I302" s="25" t="s">
        <v>2430</v>
      </c>
      <c r="J302" s="42" t="s">
        <v>2421</v>
      </c>
      <c r="K302" s="42" t="s">
        <v>499</v>
      </c>
      <c r="L302" s="26">
        <v>79122866</v>
      </c>
      <c r="M302" s="43">
        <v>1182</v>
      </c>
      <c r="N302" s="44">
        <v>45082</v>
      </c>
      <c r="O302" s="45">
        <v>48600000</v>
      </c>
      <c r="P302" s="46">
        <v>45091</v>
      </c>
      <c r="Q302" s="43" t="s">
        <v>2431</v>
      </c>
      <c r="R302" s="46">
        <v>45092</v>
      </c>
      <c r="S302" s="45" t="s">
        <v>2400</v>
      </c>
      <c r="T302" s="46">
        <v>45093</v>
      </c>
      <c r="U302" s="45">
        <v>16200000</v>
      </c>
      <c r="V302" s="43">
        <v>1166</v>
      </c>
      <c r="W302" s="44">
        <v>45092</v>
      </c>
      <c r="X302" s="47">
        <v>16200000</v>
      </c>
      <c r="Y302" s="46">
        <v>45275</v>
      </c>
      <c r="Z302" s="48" t="s">
        <v>120</v>
      </c>
      <c r="AA302" s="48"/>
      <c r="AB302" s="48"/>
      <c r="AC302" s="26"/>
      <c r="AD302" s="48"/>
      <c r="AE302" s="48"/>
      <c r="AF302" s="48"/>
      <c r="AG302" s="45"/>
      <c r="AH302" s="50">
        <f>U302+AG302</f>
        <v>16200000</v>
      </c>
      <c r="AI302" s="48"/>
      <c r="AJ302" s="48"/>
      <c r="AK302" s="48"/>
      <c r="AL302" s="42"/>
      <c r="AM302" s="48"/>
      <c r="AN302" s="48"/>
      <c r="AO302" s="38"/>
      <c r="AP302" s="38"/>
      <c r="AQ302" s="38"/>
      <c r="AR302" s="38"/>
      <c r="AS302" s="38"/>
      <c r="AT302" s="51"/>
      <c r="AU302" s="52"/>
      <c r="AV302" s="38"/>
      <c r="AW302" s="41" t="s">
        <v>56</v>
      </c>
      <c r="AX302" s="54" t="s">
        <v>271</v>
      </c>
      <c r="AY302" s="54">
        <v>20235920006543</v>
      </c>
    </row>
    <row r="303" spans="2:51" s="37" customFormat="1" ht="15" customHeight="1" x14ac:dyDescent="0.25">
      <c r="B303" s="38">
        <v>302</v>
      </c>
      <c r="C303" s="39">
        <v>2023</v>
      </c>
      <c r="D303" s="40" t="s">
        <v>2432</v>
      </c>
      <c r="E303" s="41" t="s">
        <v>96</v>
      </c>
      <c r="F303" s="40" t="s">
        <v>97</v>
      </c>
      <c r="G303" s="40" t="s">
        <v>98</v>
      </c>
      <c r="H303" s="41" t="s">
        <v>2433</v>
      </c>
      <c r="I303" s="25" t="s">
        <v>2434</v>
      </c>
      <c r="J303" s="42" t="s">
        <v>874</v>
      </c>
      <c r="K303" s="42" t="s">
        <v>875</v>
      </c>
      <c r="L303" s="26">
        <v>80154713</v>
      </c>
      <c r="M303" s="43">
        <v>1187</v>
      </c>
      <c r="N303" s="44">
        <v>45084</v>
      </c>
      <c r="O303" s="45">
        <v>24000000</v>
      </c>
      <c r="P303" s="46">
        <v>45091</v>
      </c>
      <c r="Q303" s="43">
        <v>101203394</v>
      </c>
      <c r="R303" s="46">
        <v>45093</v>
      </c>
      <c r="S303" s="45" t="s">
        <v>2400</v>
      </c>
      <c r="T303" s="46">
        <v>45093</v>
      </c>
      <c r="U303" s="45">
        <v>24000000</v>
      </c>
      <c r="V303" s="43">
        <v>1165</v>
      </c>
      <c r="W303" s="44">
        <v>45092</v>
      </c>
      <c r="X303" s="45">
        <v>24000000</v>
      </c>
      <c r="Y303" s="46">
        <v>45275</v>
      </c>
      <c r="Z303" s="48" t="s">
        <v>120</v>
      </c>
      <c r="AA303" s="48"/>
      <c r="AB303" s="48"/>
      <c r="AC303" s="26"/>
      <c r="AD303" s="48"/>
      <c r="AE303" s="48"/>
      <c r="AF303" s="48"/>
      <c r="AG303" s="45"/>
      <c r="AH303" s="50">
        <f>U303+AG303</f>
        <v>24000000</v>
      </c>
      <c r="AI303" s="48"/>
      <c r="AJ303" s="48"/>
      <c r="AK303" s="48"/>
      <c r="AL303" s="42"/>
      <c r="AM303" s="48"/>
      <c r="AN303" s="48"/>
      <c r="AO303" s="38"/>
      <c r="AP303" s="38"/>
      <c r="AQ303" s="38"/>
      <c r="AR303" s="38"/>
      <c r="AS303" s="38"/>
      <c r="AT303" s="51"/>
      <c r="AU303" s="52"/>
      <c r="AV303" s="38"/>
      <c r="AW303" s="41" t="s">
        <v>56</v>
      </c>
      <c r="AX303" s="54" t="s">
        <v>195</v>
      </c>
      <c r="AY303" s="54" t="s">
        <v>121</v>
      </c>
    </row>
    <row r="304" spans="2:51" s="37" customFormat="1" ht="15" x14ac:dyDescent="0.25">
      <c r="B304" s="38">
        <v>303</v>
      </c>
      <c r="C304" s="39">
        <v>2023</v>
      </c>
      <c r="D304" s="40" t="s">
        <v>2435</v>
      </c>
      <c r="E304" s="41" t="s">
        <v>2010</v>
      </c>
      <c r="F304" s="40" t="s">
        <v>97</v>
      </c>
      <c r="G304" s="40" t="s">
        <v>98</v>
      </c>
      <c r="H304" s="41" t="s">
        <v>2436</v>
      </c>
      <c r="I304" s="25" t="s">
        <v>2437</v>
      </c>
      <c r="J304" s="42" t="s">
        <v>2438</v>
      </c>
      <c r="K304" s="42" t="s">
        <v>2439</v>
      </c>
      <c r="L304" s="26">
        <v>80803589</v>
      </c>
      <c r="M304" s="43">
        <v>1193</v>
      </c>
      <c r="N304" s="44">
        <v>45090</v>
      </c>
      <c r="O304" s="45">
        <v>129600000</v>
      </c>
      <c r="P304" s="46">
        <v>45103</v>
      </c>
      <c r="Q304" s="43" t="s">
        <v>2440</v>
      </c>
      <c r="R304" s="46">
        <v>45103</v>
      </c>
      <c r="S304" s="45" t="s">
        <v>2400</v>
      </c>
      <c r="T304" s="46">
        <v>45106</v>
      </c>
      <c r="U304" s="45">
        <v>16200000</v>
      </c>
      <c r="V304" s="43">
        <v>1189</v>
      </c>
      <c r="W304" s="44">
        <v>45105</v>
      </c>
      <c r="X304" s="47">
        <v>16200000</v>
      </c>
      <c r="Y304" s="46">
        <v>45288</v>
      </c>
      <c r="Z304" s="48" t="s">
        <v>120</v>
      </c>
      <c r="AA304" s="48"/>
      <c r="AB304" s="48"/>
      <c r="AC304" s="26"/>
      <c r="AD304" s="48"/>
      <c r="AE304" s="48"/>
      <c r="AF304" s="48"/>
      <c r="AG304" s="45"/>
      <c r="AH304" s="50">
        <f>U304+AG304</f>
        <v>16200000</v>
      </c>
      <c r="AI304" s="48"/>
      <c r="AJ304" s="48"/>
      <c r="AK304" s="48"/>
      <c r="AL304" s="42"/>
      <c r="AM304" s="48"/>
      <c r="AN304" s="48"/>
      <c r="AO304" s="38"/>
      <c r="AP304" s="38"/>
      <c r="AQ304" s="38"/>
      <c r="AR304" s="38"/>
      <c r="AS304" s="38"/>
      <c r="AT304" s="51"/>
      <c r="AU304" s="52"/>
      <c r="AV304" s="38"/>
      <c r="AW304" s="41" t="s">
        <v>56</v>
      </c>
      <c r="AX304" s="54" t="s">
        <v>145</v>
      </c>
      <c r="AY304" s="54">
        <v>20235920007053</v>
      </c>
    </row>
    <row r="305" spans="2:51" s="37" customFormat="1" ht="15" x14ac:dyDescent="0.25">
      <c r="B305" s="38">
        <v>304</v>
      </c>
      <c r="C305" s="39">
        <v>2023</v>
      </c>
      <c r="D305" s="40" t="s">
        <v>2441</v>
      </c>
      <c r="E305" s="41" t="s">
        <v>2010</v>
      </c>
      <c r="F305" s="40" t="s">
        <v>97</v>
      </c>
      <c r="G305" s="40" t="s">
        <v>98</v>
      </c>
      <c r="H305" s="41" t="s">
        <v>2442</v>
      </c>
      <c r="I305" s="25" t="s">
        <v>2443</v>
      </c>
      <c r="J305" s="42" t="s">
        <v>2397</v>
      </c>
      <c r="K305" s="42" t="s">
        <v>2444</v>
      </c>
      <c r="L305" s="26">
        <v>79137665</v>
      </c>
      <c r="M305" s="43">
        <v>1193</v>
      </c>
      <c r="N305" s="44">
        <v>45090</v>
      </c>
      <c r="O305" s="45">
        <v>129600000</v>
      </c>
      <c r="P305" s="46">
        <v>45007</v>
      </c>
      <c r="Q305" s="43" t="s">
        <v>2445</v>
      </c>
      <c r="R305" s="46">
        <v>45103</v>
      </c>
      <c r="S305" s="45" t="s">
        <v>2400</v>
      </c>
      <c r="T305" s="46">
        <v>45103</v>
      </c>
      <c r="U305" s="45">
        <v>16200000</v>
      </c>
      <c r="V305" s="43">
        <v>1175</v>
      </c>
      <c r="W305" s="44">
        <v>45100</v>
      </c>
      <c r="X305" s="47">
        <v>16200000</v>
      </c>
      <c r="Y305" s="46">
        <v>45285</v>
      </c>
      <c r="Z305" s="48" t="s">
        <v>120</v>
      </c>
      <c r="AA305" s="48"/>
      <c r="AB305" s="48"/>
      <c r="AC305" s="26"/>
      <c r="AD305" s="48"/>
      <c r="AE305" s="48"/>
      <c r="AF305" s="48"/>
      <c r="AG305" s="45"/>
      <c r="AH305" s="50">
        <f>U305+AG305</f>
        <v>16200000</v>
      </c>
      <c r="AI305" s="48"/>
      <c r="AJ305" s="48"/>
      <c r="AK305" s="48"/>
      <c r="AL305" s="42"/>
      <c r="AM305" s="48"/>
      <c r="AN305" s="48"/>
      <c r="AO305" s="38"/>
      <c r="AP305" s="38"/>
      <c r="AQ305" s="38"/>
      <c r="AR305" s="38"/>
      <c r="AS305" s="38"/>
      <c r="AT305" s="51"/>
      <c r="AU305" s="52"/>
      <c r="AV305" s="38"/>
      <c r="AW305" s="41" t="s">
        <v>56</v>
      </c>
      <c r="AX305" s="54" t="s">
        <v>145</v>
      </c>
      <c r="AY305" s="54">
        <v>20235920007053</v>
      </c>
    </row>
    <row r="306" spans="2:51" s="37" customFormat="1" ht="15" x14ac:dyDescent="0.25">
      <c r="B306" s="38">
        <v>305</v>
      </c>
      <c r="C306" s="39">
        <v>2023</v>
      </c>
      <c r="D306" s="40" t="s">
        <v>2446</v>
      </c>
      <c r="E306" s="41" t="s">
        <v>2010</v>
      </c>
      <c r="F306" s="40" t="s">
        <v>97</v>
      </c>
      <c r="G306" s="40" t="s">
        <v>98</v>
      </c>
      <c r="H306" s="41" t="s">
        <v>2447</v>
      </c>
      <c r="I306" s="25" t="s">
        <v>2448</v>
      </c>
      <c r="J306" s="42" t="s">
        <v>2397</v>
      </c>
      <c r="K306" s="42" t="s">
        <v>2449</v>
      </c>
      <c r="L306" s="26">
        <v>1024507119</v>
      </c>
      <c r="M306" s="43">
        <v>1193</v>
      </c>
      <c r="N306" s="44">
        <v>45090</v>
      </c>
      <c r="O306" s="45">
        <v>129600000</v>
      </c>
      <c r="P306" s="46">
        <v>45007</v>
      </c>
      <c r="Q306" s="43" t="s">
        <v>2450</v>
      </c>
      <c r="R306" s="46">
        <v>45103</v>
      </c>
      <c r="S306" s="45" t="s">
        <v>2400</v>
      </c>
      <c r="T306" s="46">
        <v>45103</v>
      </c>
      <c r="U306" s="45">
        <v>16200000</v>
      </c>
      <c r="V306" s="43">
        <v>1174</v>
      </c>
      <c r="W306" s="44">
        <v>45100</v>
      </c>
      <c r="X306" s="47">
        <v>16200000</v>
      </c>
      <c r="Y306" s="46">
        <v>45285</v>
      </c>
      <c r="Z306" s="48" t="s">
        <v>120</v>
      </c>
      <c r="AA306" s="48"/>
      <c r="AB306" s="48"/>
      <c r="AC306" s="26"/>
      <c r="AD306" s="48"/>
      <c r="AE306" s="48"/>
      <c r="AF306" s="48"/>
      <c r="AG306" s="45"/>
      <c r="AH306" s="50">
        <f>U306+AG306</f>
        <v>16200000</v>
      </c>
      <c r="AI306" s="48"/>
      <c r="AJ306" s="48"/>
      <c r="AK306" s="48"/>
      <c r="AL306" s="42"/>
      <c r="AM306" s="48"/>
      <c r="AN306" s="48"/>
      <c r="AO306" s="38"/>
      <c r="AP306" s="38"/>
      <c r="AQ306" s="38"/>
      <c r="AR306" s="38"/>
      <c r="AS306" s="38"/>
      <c r="AT306" s="51"/>
      <c r="AU306" s="52"/>
      <c r="AV306" s="38"/>
      <c r="AW306" s="41" t="s">
        <v>56</v>
      </c>
      <c r="AX306" s="54" t="s">
        <v>145</v>
      </c>
      <c r="AY306" s="54">
        <v>20235920007053</v>
      </c>
    </row>
    <row r="307" spans="2:51" s="37" customFormat="1" ht="15" x14ac:dyDescent="0.25">
      <c r="B307" s="38">
        <v>306</v>
      </c>
      <c r="C307" s="39">
        <v>2023</v>
      </c>
      <c r="D307" s="40" t="s">
        <v>2451</v>
      </c>
      <c r="E307" s="41" t="s">
        <v>2010</v>
      </c>
      <c r="F307" s="40" t="s">
        <v>97</v>
      </c>
      <c r="G307" s="40" t="s">
        <v>98</v>
      </c>
      <c r="H307" s="41" t="s">
        <v>2451</v>
      </c>
      <c r="I307" s="25" t="s">
        <v>2452</v>
      </c>
      <c r="J307" s="42" t="s">
        <v>509</v>
      </c>
      <c r="K307" s="42" t="s">
        <v>1039</v>
      </c>
      <c r="L307" s="26">
        <v>1030583123</v>
      </c>
      <c r="M307" s="43">
        <v>1180</v>
      </c>
      <c r="N307" s="44">
        <v>45082</v>
      </c>
      <c r="O307" s="45">
        <v>145800000</v>
      </c>
      <c r="P307" s="46">
        <v>45100</v>
      </c>
      <c r="Q307" s="43" t="s">
        <v>2453</v>
      </c>
      <c r="R307" s="46">
        <v>45104</v>
      </c>
      <c r="S307" s="45" t="s">
        <v>2400</v>
      </c>
      <c r="T307" s="46">
        <v>45106</v>
      </c>
      <c r="U307" s="45">
        <v>16200000</v>
      </c>
      <c r="V307" s="43">
        <v>1195</v>
      </c>
      <c r="W307" s="44">
        <v>45105</v>
      </c>
      <c r="X307" s="47">
        <v>16200000</v>
      </c>
      <c r="Y307" s="46">
        <v>45288</v>
      </c>
      <c r="Z307" s="48" t="s">
        <v>120</v>
      </c>
      <c r="AA307" s="48"/>
      <c r="AB307" s="48"/>
      <c r="AC307" s="26"/>
      <c r="AD307" s="48"/>
      <c r="AE307" s="48"/>
      <c r="AF307" s="48"/>
      <c r="AG307" s="45"/>
      <c r="AH307" s="50">
        <f>U307+AG307</f>
        <v>16200000</v>
      </c>
      <c r="AI307" s="48"/>
      <c r="AJ307" s="48"/>
      <c r="AK307" s="48"/>
      <c r="AL307" s="42"/>
      <c r="AM307" s="48"/>
      <c r="AN307" s="48"/>
      <c r="AO307" s="38"/>
      <c r="AP307" s="38"/>
      <c r="AQ307" s="38"/>
      <c r="AR307" s="38"/>
      <c r="AS307" s="38"/>
      <c r="AT307" s="51"/>
      <c r="AU307" s="52"/>
      <c r="AV307" s="38"/>
      <c r="AW307" s="41" t="s">
        <v>56</v>
      </c>
      <c r="AX307" s="54" t="s">
        <v>271</v>
      </c>
      <c r="AY307" s="54">
        <v>20235920007103</v>
      </c>
    </row>
    <row r="308" spans="2:51" s="37" customFormat="1" ht="15" x14ac:dyDescent="0.25">
      <c r="B308" s="38">
        <v>307</v>
      </c>
      <c r="C308" s="39">
        <v>2023</v>
      </c>
      <c r="D308" s="40" t="s">
        <v>2454</v>
      </c>
      <c r="E308" s="41" t="s">
        <v>2010</v>
      </c>
      <c r="F308" s="40" t="s">
        <v>97</v>
      </c>
      <c r="G308" s="40" t="s">
        <v>98</v>
      </c>
      <c r="H308" s="41" t="s">
        <v>2455</v>
      </c>
      <c r="I308" s="25" t="s">
        <v>2456</v>
      </c>
      <c r="J308" s="42" t="s">
        <v>509</v>
      </c>
      <c r="K308" s="42" t="s">
        <v>1339</v>
      </c>
      <c r="L308" s="26">
        <v>1136880515</v>
      </c>
      <c r="M308" s="43">
        <v>1180</v>
      </c>
      <c r="N308" s="44">
        <v>45082</v>
      </c>
      <c r="O308" s="45">
        <v>145800000</v>
      </c>
      <c r="P308" s="46">
        <v>45100</v>
      </c>
      <c r="Q308" s="43" t="s">
        <v>2457</v>
      </c>
      <c r="R308" s="46">
        <v>45105</v>
      </c>
      <c r="S308" s="45" t="s">
        <v>2400</v>
      </c>
      <c r="T308" s="46">
        <v>45106</v>
      </c>
      <c r="U308" s="45">
        <v>16200000</v>
      </c>
      <c r="V308" s="43">
        <v>1201</v>
      </c>
      <c r="W308" s="44">
        <v>45105</v>
      </c>
      <c r="X308" s="47">
        <v>16200000</v>
      </c>
      <c r="Y308" s="46">
        <v>45288</v>
      </c>
      <c r="Z308" s="48" t="s">
        <v>120</v>
      </c>
      <c r="AA308" s="48"/>
      <c r="AB308" s="48"/>
      <c r="AC308" s="26"/>
      <c r="AD308" s="48"/>
      <c r="AE308" s="48"/>
      <c r="AF308" s="48"/>
      <c r="AG308" s="45"/>
      <c r="AH308" s="50">
        <f>U308+AG308</f>
        <v>16200000</v>
      </c>
      <c r="AI308" s="48"/>
      <c r="AJ308" s="48"/>
      <c r="AK308" s="48"/>
      <c r="AL308" s="42"/>
      <c r="AM308" s="48"/>
      <c r="AN308" s="48"/>
      <c r="AO308" s="38"/>
      <c r="AP308" s="38"/>
      <c r="AQ308" s="38"/>
      <c r="AR308" s="38"/>
      <c r="AS308" s="38"/>
      <c r="AT308" s="51"/>
      <c r="AU308" s="52"/>
      <c r="AV308" s="38"/>
      <c r="AW308" s="41" t="s">
        <v>56</v>
      </c>
      <c r="AX308" s="54" t="s">
        <v>271</v>
      </c>
      <c r="AY308" s="54">
        <v>20235920007103</v>
      </c>
    </row>
    <row r="309" spans="2:51" s="37" customFormat="1" ht="15" x14ac:dyDescent="0.25">
      <c r="B309" s="38">
        <v>308</v>
      </c>
      <c r="C309" s="39">
        <v>2023</v>
      </c>
      <c r="D309" s="40" t="s">
        <v>2458</v>
      </c>
      <c r="E309" s="41" t="s">
        <v>199</v>
      </c>
      <c r="F309" s="40" t="s">
        <v>97</v>
      </c>
      <c r="G309" s="40" t="s">
        <v>98</v>
      </c>
      <c r="H309" s="41" t="s">
        <v>2459</v>
      </c>
      <c r="I309" s="25" t="s">
        <v>2460</v>
      </c>
      <c r="J309" s="42" t="s">
        <v>2461</v>
      </c>
      <c r="K309" s="42" t="s">
        <v>2462</v>
      </c>
      <c r="L309" s="26">
        <v>80013622</v>
      </c>
      <c r="M309" s="43">
        <v>1201</v>
      </c>
      <c r="N309" s="44">
        <v>45093</v>
      </c>
      <c r="O309" s="45">
        <v>30000000</v>
      </c>
      <c r="P309" s="46">
        <v>45100</v>
      </c>
      <c r="Q309" s="43" t="s">
        <v>2463</v>
      </c>
      <c r="R309" s="46">
        <v>45103</v>
      </c>
      <c r="S309" s="45" t="s">
        <v>2400</v>
      </c>
      <c r="T309" s="46">
        <v>45103</v>
      </c>
      <c r="U309" s="45">
        <v>30000000</v>
      </c>
      <c r="V309" s="43">
        <v>1178</v>
      </c>
      <c r="W309" s="44">
        <v>45103</v>
      </c>
      <c r="X309" s="47">
        <v>30000000</v>
      </c>
      <c r="Y309" s="46">
        <v>45285</v>
      </c>
      <c r="Z309" s="48" t="s">
        <v>120</v>
      </c>
      <c r="AA309" s="48"/>
      <c r="AB309" s="48"/>
      <c r="AC309" s="26"/>
      <c r="AD309" s="48"/>
      <c r="AE309" s="48"/>
      <c r="AF309" s="48"/>
      <c r="AG309" s="45"/>
      <c r="AH309" s="50">
        <f>U309+AG309</f>
        <v>30000000</v>
      </c>
      <c r="AI309" s="48"/>
      <c r="AJ309" s="48"/>
      <c r="AK309" s="48"/>
      <c r="AL309" s="42"/>
      <c r="AM309" s="48"/>
      <c r="AN309" s="48"/>
      <c r="AO309" s="38"/>
      <c r="AP309" s="38"/>
      <c r="AQ309" s="38"/>
      <c r="AR309" s="38"/>
      <c r="AS309" s="38"/>
      <c r="AT309" s="51"/>
      <c r="AU309" s="52"/>
      <c r="AV309" s="38"/>
      <c r="AW309" s="41" t="s">
        <v>56</v>
      </c>
      <c r="AX309" s="54" t="s">
        <v>1718</v>
      </c>
      <c r="AY309" s="54">
        <v>20235920006953</v>
      </c>
    </row>
    <row r="310" spans="2:51" s="37" customFormat="1" ht="15" x14ac:dyDescent="0.25">
      <c r="B310" s="38">
        <v>309</v>
      </c>
      <c r="C310" s="39">
        <v>2023</v>
      </c>
      <c r="D310" s="40" t="s">
        <v>2464</v>
      </c>
      <c r="E310" s="41" t="s">
        <v>518</v>
      </c>
      <c r="F310" s="40" t="s">
        <v>97</v>
      </c>
      <c r="G310" s="40" t="s">
        <v>98</v>
      </c>
      <c r="H310" s="41" t="s">
        <v>2465</v>
      </c>
      <c r="I310" s="25" t="s">
        <v>2466</v>
      </c>
      <c r="J310" s="42" t="s">
        <v>1146</v>
      </c>
      <c r="K310" s="42" t="s">
        <v>1204</v>
      </c>
      <c r="L310" s="26">
        <v>80010043</v>
      </c>
      <c r="M310" s="43">
        <v>1183</v>
      </c>
      <c r="N310" s="44">
        <v>45082</v>
      </c>
      <c r="O310" s="45">
        <v>36000000</v>
      </c>
      <c r="P310" s="46">
        <v>45100</v>
      </c>
      <c r="Q310" s="43" t="s">
        <v>2467</v>
      </c>
      <c r="R310" s="46">
        <v>45103</v>
      </c>
      <c r="S310" s="45" t="s">
        <v>2400</v>
      </c>
      <c r="T310" s="46">
        <v>45103</v>
      </c>
      <c r="U310" s="45">
        <v>36000000</v>
      </c>
      <c r="V310" s="43">
        <v>1176</v>
      </c>
      <c r="W310" s="44">
        <v>45103</v>
      </c>
      <c r="X310" s="47">
        <v>36000000</v>
      </c>
      <c r="Y310" s="46">
        <v>45285</v>
      </c>
      <c r="Z310" s="48" t="s">
        <v>120</v>
      </c>
      <c r="AA310" s="48"/>
      <c r="AB310" s="48"/>
      <c r="AC310" s="26"/>
      <c r="AD310" s="48"/>
      <c r="AE310" s="48"/>
      <c r="AF310" s="48"/>
      <c r="AG310" s="45"/>
      <c r="AH310" s="50">
        <f>U310+AG310</f>
        <v>36000000</v>
      </c>
      <c r="AI310" s="48"/>
      <c r="AJ310" s="48"/>
      <c r="AK310" s="48"/>
      <c r="AL310" s="42"/>
      <c r="AM310" s="48"/>
      <c r="AN310" s="48"/>
      <c r="AO310" s="38"/>
      <c r="AP310" s="38"/>
      <c r="AQ310" s="38"/>
      <c r="AR310" s="38"/>
      <c r="AS310" s="38"/>
      <c r="AT310" s="51"/>
      <c r="AU310" s="52"/>
      <c r="AV310" s="38"/>
      <c r="AW310" s="41" t="s">
        <v>56</v>
      </c>
      <c r="AX310" s="54" t="s">
        <v>145</v>
      </c>
      <c r="AY310" s="54">
        <v>20235920007163</v>
      </c>
    </row>
    <row r="311" spans="2:51" s="37" customFormat="1" ht="15" x14ac:dyDescent="0.25">
      <c r="B311" s="38">
        <v>310</v>
      </c>
      <c r="C311" s="39">
        <v>2023</v>
      </c>
      <c r="D311" s="40" t="s">
        <v>2468</v>
      </c>
      <c r="E311" s="41" t="s">
        <v>518</v>
      </c>
      <c r="F311" s="40" t="s">
        <v>97</v>
      </c>
      <c r="G311" s="40" t="s">
        <v>98</v>
      </c>
      <c r="H311" s="41" t="s">
        <v>2469</v>
      </c>
      <c r="I311" s="25" t="s">
        <v>2470</v>
      </c>
      <c r="J311" s="42" t="s">
        <v>2471</v>
      </c>
      <c r="K311" s="42" t="s">
        <v>2472</v>
      </c>
      <c r="L311" s="26">
        <v>1106738069</v>
      </c>
      <c r="M311" s="43">
        <v>1202</v>
      </c>
      <c r="N311" s="44">
        <v>45098</v>
      </c>
      <c r="O311" s="45">
        <v>15000000</v>
      </c>
      <c r="P311" s="46">
        <v>45100</v>
      </c>
      <c r="Q311" s="43" t="s">
        <v>2473</v>
      </c>
      <c r="R311" s="46">
        <v>45105</v>
      </c>
      <c r="S311" s="45" t="s">
        <v>2400</v>
      </c>
      <c r="T311" s="46">
        <v>45105</v>
      </c>
      <c r="U311" s="45">
        <v>15000000</v>
      </c>
      <c r="V311" s="43">
        <v>1177</v>
      </c>
      <c r="W311" s="44">
        <v>45103</v>
      </c>
      <c r="X311" s="47">
        <v>15000000</v>
      </c>
      <c r="Y311" s="46">
        <v>45287</v>
      </c>
      <c r="Z311" s="48" t="s">
        <v>120</v>
      </c>
      <c r="AA311" s="48"/>
      <c r="AB311" s="48"/>
      <c r="AC311" s="26"/>
      <c r="AD311" s="48"/>
      <c r="AE311" s="48"/>
      <c r="AF311" s="48"/>
      <c r="AG311" s="45"/>
      <c r="AH311" s="50">
        <f>U311+AG311</f>
        <v>15000000</v>
      </c>
      <c r="AI311" s="48"/>
      <c r="AJ311" s="48"/>
      <c r="AK311" s="48"/>
      <c r="AL311" s="42"/>
      <c r="AM311" s="48"/>
      <c r="AN311" s="48"/>
      <c r="AO311" s="38"/>
      <c r="AP311" s="38"/>
      <c r="AQ311" s="38"/>
      <c r="AR311" s="38"/>
      <c r="AS311" s="38"/>
      <c r="AT311" s="51"/>
      <c r="AU311" s="52"/>
      <c r="AV311" s="38"/>
      <c r="AW311" s="41" t="s">
        <v>56</v>
      </c>
      <c r="AX311" s="54" t="s">
        <v>145</v>
      </c>
      <c r="AY311" s="54">
        <v>20235920007163</v>
      </c>
    </row>
    <row r="312" spans="2:51" s="37" customFormat="1" ht="15" x14ac:dyDescent="0.25">
      <c r="B312" s="38">
        <v>311</v>
      </c>
      <c r="C312" s="39">
        <v>2023</v>
      </c>
      <c r="D312" s="40" t="s">
        <v>2474</v>
      </c>
      <c r="E312" s="41" t="s">
        <v>2010</v>
      </c>
      <c r="F312" s="40" t="s">
        <v>97</v>
      </c>
      <c r="G312" s="40" t="s">
        <v>98</v>
      </c>
      <c r="H312" s="41" t="s">
        <v>2475</v>
      </c>
      <c r="I312" s="25" t="s">
        <v>2476</v>
      </c>
      <c r="J312" s="42" t="s">
        <v>2477</v>
      </c>
      <c r="K312" s="42" t="s">
        <v>1054</v>
      </c>
      <c r="L312" s="26">
        <v>52536354</v>
      </c>
      <c r="M312" s="43">
        <v>1180</v>
      </c>
      <c r="N312" s="44">
        <v>45082</v>
      </c>
      <c r="O312" s="45">
        <v>145800000</v>
      </c>
      <c r="P312" s="46">
        <v>45100</v>
      </c>
      <c r="Q312" s="43" t="s">
        <v>2478</v>
      </c>
      <c r="R312" s="46">
        <v>45104</v>
      </c>
      <c r="S312" s="45" t="s">
        <v>2400</v>
      </c>
      <c r="T312" s="46">
        <v>45106</v>
      </c>
      <c r="U312" s="45">
        <v>16200000</v>
      </c>
      <c r="V312" s="43">
        <v>1193</v>
      </c>
      <c r="W312" s="44">
        <v>45105</v>
      </c>
      <c r="X312" s="47">
        <v>16200000</v>
      </c>
      <c r="Y312" s="46">
        <v>45288</v>
      </c>
      <c r="Z312" s="48" t="s">
        <v>120</v>
      </c>
      <c r="AA312" s="48"/>
      <c r="AB312" s="48"/>
      <c r="AC312" s="26"/>
      <c r="AD312" s="48"/>
      <c r="AE312" s="48"/>
      <c r="AF312" s="48"/>
      <c r="AG312" s="45"/>
      <c r="AH312" s="50">
        <f>U312+AG312</f>
        <v>16200000</v>
      </c>
      <c r="AI312" s="48"/>
      <c r="AJ312" s="48"/>
      <c r="AK312" s="48"/>
      <c r="AL312" s="42"/>
      <c r="AM312" s="48"/>
      <c r="AN312" s="48"/>
      <c r="AO312" s="38"/>
      <c r="AP312" s="38"/>
      <c r="AQ312" s="38"/>
      <c r="AR312" s="38"/>
      <c r="AS312" s="38"/>
      <c r="AT312" s="51"/>
      <c r="AU312" s="52"/>
      <c r="AV312" s="38"/>
      <c r="AW312" s="41" t="s">
        <v>56</v>
      </c>
      <c r="AX312" s="54" t="s">
        <v>271</v>
      </c>
      <c r="AY312" s="54">
        <v>20235920007103</v>
      </c>
    </row>
    <row r="313" spans="2:51" s="37" customFormat="1" ht="15" x14ac:dyDescent="0.25">
      <c r="B313" s="38">
        <v>312</v>
      </c>
      <c r="C313" s="39">
        <v>2023</v>
      </c>
      <c r="D313" s="40" t="s">
        <v>2479</v>
      </c>
      <c r="E313" s="41" t="s">
        <v>2010</v>
      </c>
      <c r="F313" s="40" t="s">
        <v>97</v>
      </c>
      <c r="G313" s="40" t="s">
        <v>98</v>
      </c>
      <c r="H313" s="41" t="s">
        <v>2480</v>
      </c>
      <c r="I313" s="25" t="s">
        <v>2481</v>
      </c>
      <c r="J313" s="42" t="s">
        <v>509</v>
      </c>
      <c r="K313" s="42" t="s">
        <v>2482</v>
      </c>
      <c r="L313" s="26">
        <v>1023920457</v>
      </c>
      <c r="M313" s="43">
        <v>1180</v>
      </c>
      <c r="N313" s="44">
        <v>45082</v>
      </c>
      <c r="O313" s="45">
        <v>145800000</v>
      </c>
      <c r="P313" s="46">
        <v>45100</v>
      </c>
      <c r="Q313" s="43" t="s">
        <v>2483</v>
      </c>
      <c r="R313" s="46">
        <v>45103</v>
      </c>
      <c r="S313" s="45" t="s">
        <v>2400</v>
      </c>
      <c r="T313" s="46">
        <v>45106</v>
      </c>
      <c r="U313" s="45">
        <v>16200000</v>
      </c>
      <c r="V313" s="43">
        <v>1192</v>
      </c>
      <c r="W313" s="44">
        <v>45105</v>
      </c>
      <c r="X313" s="47">
        <v>16200000</v>
      </c>
      <c r="Y313" s="46">
        <v>45288</v>
      </c>
      <c r="Z313" s="48" t="s">
        <v>120</v>
      </c>
      <c r="AA313" s="48"/>
      <c r="AB313" s="48"/>
      <c r="AC313" s="26"/>
      <c r="AD313" s="48"/>
      <c r="AE313" s="48"/>
      <c r="AF313" s="48"/>
      <c r="AG313" s="45"/>
      <c r="AH313" s="50">
        <f>U313+AG313</f>
        <v>16200000</v>
      </c>
      <c r="AI313" s="48"/>
      <c r="AJ313" s="48"/>
      <c r="AK313" s="48"/>
      <c r="AL313" s="42"/>
      <c r="AM313" s="48"/>
      <c r="AN313" s="48"/>
      <c r="AO313" s="38"/>
      <c r="AP313" s="38"/>
      <c r="AQ313" s="38"/>
      <c r="AR313" s="38"/>
      <c r="AS313" s="38"/>
      <c r="AT313" s="51"/>
      <c r="AU313" s="52"/>
      <c r="AV313" s="38"/>
      <c r="AW313" s="41" t="s">
        <v>56</v>
      </c>
      <c r="AX313" s="54" t="s">
        <v>271</v>
      </c>
      <c r="AY313" s="54">
        <v>20235920007103</v>
      </c>
    </row>
    <row r="314" spans="2:51" s="37" customFormat="1" ht="15" x14ac:dyDescent="0.25">
      <c r="B314" s="38">
        <v>313</v>
      </c>
      <c r="C314" s="39">
        <v>2023</v>
      </c>
      <c r="D314" s="40" t="s">
        <v>2484</v>
      </c>
      <c r="E314" s="41" t="s">
        <v>518</v>
      </c>
      <c r="F314" s="40" t="s">
        <v>97</v>
      </c>
      <c r="G314" s="40" t="s">
        <v>98</v>
      </c>
      <c r="H314" s="41" t="s">
        <v>2485</v>
      </c>
      <c r="I314" s="25" t="s">
        <v>2486</v>
      </c>
      <c r="J314" s="42" t="s">
        <v>2487</v>
      </c>
      <c r="K314" s="42" t="s">
        <v>2488</v>
      </c>
      <c r="L314" s="26">
        <v>1019145186</v>
      </c>
      <c r="M314" s="43">
        <v>1196</v>
      </c>
      <c r="N314" s="44">
        <v>45093</v>
      </c>
      <c r="O314" s="45">
        <v>54240000</v>
      </c>
      <c r="P314" s="46">
        <v>45104</v>
      </c>
      <c r="Q314" s="43" t="s">
        <v>2489</v>
      </c>
      <c r="R314" s="46">
        <v>45106</v>
      </c>
      <c r="S314" s="45" t="s">
        <v>2400</v>
      </c>
      <c r="T314" s="46">
        <v>45106</v>
      </c>
      <c r="U314" s="45">
        <v>27120000</v>
      </c>
      <c r="V314" s="43">
        <v>1213</v>
      </c>
      <c r="W314" s="44">
        <v>45105</v>
      </c>
      <c r="X314" s="47">
        <v>27120000</v>
      </c>
      <c r="Y314" s="46">
        <v>45288</v>
      </c>
      <c r="Z314" s="48" t="s">
        <v>109</v>
      </c>
      <c r="AA314" s="48"/>
      <c r="AB314" s="48"/>
      <c r="AC314" s="26"/>
      <c r="AD314" s="48"/>
      <c r="AE314" s="48"/>
      <c r="AF314" s="48"/>
      <c r="AG314" s="45"/>
      <c r="AH314" s="50">
        <f>U314+AG314</f>
        <v>27120000</v>
      </c>
      <c r="AI314" s="48"/>
      <c r="AJ314" s="48"/>
      <c r="AK314" s="48"/>
      <c r="AL314" s="42"/>
      <c r="AM314" s="48"/>
      <c r="AN314" s="48"/>
      <c r="AO314" s="53">
        <v>45209</v>
      </c>
      <c r="AP314" s="38" t="s">
        <v>2490</v>
      </c>
      <c r="AQ314" s="38"/>
      <c r="AR314" s="38"/>
      <c r="AS314" s="53">
        <v>45231</v>
      </c>
      <c r="AT314" s="51"/>
      <c r="AU314" s="52"/>
      <c r="AV314" s="44">
        <v>45310</v>
      </c>
      <c r="AW314" s="41" t="s">
        <v>56</v>
      </c>
      <c r="AX314" s="54" t="s">
        <v>345</v>
      </c>
      <c r="AY314" s="54">
        <v>20235920007173</v>
      </c>
    </row>
    <row r="315" spans="2:51" s="37" customFormat="1" ht="15" x14ac:dyDescent="0.25">
      <c r="B315" s="38">
        <v>314</v>
      </c>
      <c r="C315" s="39">
        <v>2023</v>
      </c>
      <c r="D315" s="40" t="s">
        <v>2491</v>
      </c>
      <c r="E315" s="41" t="s">
        <v>153</v>
      </c>
      <c r="F315" s="40" t="s">
        <v>97</v>
      </c>
      <c r="G315" s="40" t="s">
        <v>98</v>
      </c>
      <c r="H315" s="41" t="s">
        <v>2492</v>
      </c>
      <c r="I315" s="25" t="s">
        <v>2493</v>
      </c>
      <c r="J315" s="42" t="s">
        <v>2494</v>
      </c>
      <c r="K315" s="42" t="s">
        <v>650</v>
      </c>
      <c r="L315" s="26">
        <v>1026295366</v>
      </c>
      <c r="M315" s="43">
        <v>1192</v>
      </c>
      <c r="N315" s="44">
        <v>45090</v>
      </c>
      <c r="O315" s="45">
        <v>45786000</v>
      </c>
      <c r="P315" s="46">
        <v>45104</v>
      </c>
      <c r="Q315" s="43" t="s">
        <v>2495</v>
      </c>
      <c r="R315" s="46">
        <v>45106</v>
      </c>
      <c r="S315" s="45" t="s">
        <v>2400</v>
      </c>
      <c r="T315" s="46">
        <v>45106</v>
      </c>
      <c r="U315" s="45">
        <v>42264000</v>
      </c>
      <c r="V315" s="43">
        <v>1181</v>
      </c>
      <c r="W315" s="44">
        <v>45104</v>
      </c>
      <c r="X315" s="47">
        <v>42264000</v>
      </c>
      <c r="Y315" s="46">
        <v>45289</v>
      </c>
      <c r="Z315" s="48" t="s">
        <v>120</v>
      </c>
      <c r="AA315" s="48"/>
      <c r="AB315" s="48"/>
      <c r="AC315" s="26"/>
      <c r="AD315" s="48"/>
      <c r="AE315" s="48"/>
      <c r="AF315" s="48"/>
      <c r="AG315" s="45"/>
      <c r="AH315" s="50">
        <f>U315+AG315</f>
        <v>42264000</v>
      </c>
      <c r="AI315" s="48"/>
      <c r="AJ315" s="48"/>
      <c r="AK315" s="48"/>
      <c r="AL315" s="42"/>
      <c r="AM315" s="48"/>
      <c r="AN315" s="48"/>
      <c r="AO315" s="38"/>
      <c r="AP315" s="38"/>
      <c r="AQ315" s="38"/>
      <c r="AR315" s="38"/>
      <c r="AS315" s="38"/>
      <c r="AT315" s="51"/>
      <c r="AU315" s="52"/>
      <c r="AV315" s="38"/>
      <c r="AW315" s="41" t="s">
        <v>56</v>
      </c>
      <c r="AX315" s="54" t="s">
        <v>238</v>
      </c>
      <c r="AY315" s="54">
        <v>20235920006823</v>
      </c>
    </row>
    <row r="316" spans="2:51" s="37" customFormat="1" ht="15" x14ac:dyDescent="0.25">
      <c r="B316" s="38">
        <v>315</v>
      </c>
      <c r="C316" s="39">
        <v>2023</v>
      </c>
      <c r="D316" s="40" t="s">
        <v>2496</v>
      </c>
      <c r="E316" s="41" t="s">
        <v>2010</v>
      </c>
      <c r="F316" s="40" t="s">
        <v>97</v>
      </c>
      <c r="G316" s="40" t="s">
        <v>98</v>
      </c>
      <c r="H316" s="41" t="s">
        <v>2497</v>
      </c>
      <c r="I316" s="25" t="s">
        <v>2498</v>
      </c>
      <c r="J316" s="42" t="s">
        <v>2477</v>
      </c>
      <c r="K316" s="42" t="s">
        <v>2499</v>
      </c>
      <c r="L316" s="26">
        <v>39761852</v>
      </c>
      <c r="M316" s="43">
        <v>1180</v>
      </c>
      <c r="N316" s="44">
        <v>45082</v>
      </c>
      <c r="O316" s="45">
        <v>145800000</v>
      </c>
      <c r="P316" s="46">
        <v>45103</v>
      </c>
      <c r="Q316" s="43" t="s">
        <v>2500</v>
      </c>
      <c r="R316" s="46">
        <v>45103</v>
      </c>
      <c r="S316" s="45" t="s">
        <v>2400</v>
      </c>
      <c r="T316" s="46">
        <v>45106</v>
      </c>
      <c r="U316" s="45">
        <v>16200000</v>
      </c>
      <c r="V316" s="43">
        <v>1191</v>
      </c>
      <c r="W316" s="44">
        <v>45105</v>
      </c>
      <c r="X316" s="47">
        <v>16200000</v>
      </c>
      <c r="Y316" s="46">
        <v>45288</v>
      </c>
      <c r="Z316" s="48" t="s">
        <v>120</v>
      </c>
      <c r="AA316" s="48"/>
      <c r="AB316" s="48"/>
      <c r="AC316" s="26"/>
      <c r="AD316" s="48"/>
      <c r="AE316" s="48"/>
      <c r="AF316" s="48"/>
      <c r="AG316" s="45"/>
      <c r="AH316" s="50">
        <f>U316+AG316</f>
        <v>16200000</v>
      </c>
      <c r="AI316" s="48"/>
      <c r="AJ316" s="48"/>
      <c r="AK316" s="48"/>
      <c r="AL316" s="42"/>
      <c r="AM316" s="48"/>
      <c r="AN316" s="48"/>
      <c r="AO316" s="38"/>
      <c r="AP316" s="38"/>
      <c r="AQ316" s="38"/>
      <c r="AR316" s="38"/>
      <c r="AS316" s="38"/>
      <c r="AT316" s="51"/>
      <c r="AU316" s="52"/>
      <c r="AV316" s="38"/>
      <c r="AW316" s="41" t="s">
        <v>56</v>
      </c>
      <c r="AX316" s="54" t="s">
        <v>271</v>
      </c>
      <c r="AY316" s="54">
        <v>20235920007103</v>
      </c>
    </row>
    <row r="317" spans="2:51" s="37" customFormat="1" ht="15" x14ac:dyDescent="0.25">
      <c r="B317" s="38">
        <v>316</v>
      </c>
      <c r="C317" s="39">
        <v>2023</v>
      </c>
      <c r="D317" s="40" t="s">
        <v>2501</v>
      </c>
      <c r="E317" s="41" t="s">
        <v>199</v>
      </c>
      <c r="F317" s="40" t="s">
        <v>97</v>
      </c>
      <c r="G317" s="40" t="s">
        <v>98</v>
      </c>
      <c r="H317" s="41" t="s">
        <v>2502</v>
      </c>
      <c r="I317" s="25" t="s">
        <v>2503</v>
      </c>
      <c r="J317" s="42" t="s">
        <v>2504</v>
      </c>
      <c r="K317" s="42" t="s">
        <v>2505</v>
      </c>
      <c r="L317" s="26">
        <v>80773428</v>
      </c>
      <c r="M317" s="43">
        <v>1199</v>
      </c>
      <c r="N317" s="44">
        <v>45093</v>
      </c>
      <c r="O317" s="45">
        <v>16200000</v>
      </c>
      <c r="P317" s="46">
        <v>45104</v>
      </c>
      <c r="Q317" s="43" t="s">
        <v>2506</v>
      </c>
      <c r="R317" s="46">
        <v>45105</v>
      </c>
      <c r="S317" s="45" t="s">
        <v>2400</v>
      </c>
      <c r="T317" s="46">
        <v>45105</v>
      </c>
      <c r="U317" s="45">
        <v>16200000</v>
      </c>
      <c r="V317" s="43">
        <v>1182</v>
      </c>
      <c r="W317" s="44">
        <v>45104</v>
      </c>
      <c r="X317" s="47">
        <v>16200000</v>
      </c>
      <c r="Y317" s="46">
        <v>45287</v>
      </c>
      <c r="Z317" s="48" t="s">
        <v>120</v>
      </c>
      <c r="AA317" s="48"/>
      <c r="AB317" s="48"/>
      <c r="AC317" s="26"/>
      <c r="AD317" s="48"/>
      <c r="AE317" s="48"/>
      <c r="AF317" s="48"/>
      <c r="AG317" s="45"/>
      <c r="AH317" s="50">
        <f>U317+AG317</f>
        <v>16200000</v>
      </c>
      <c r="AI317" s="48"/>
      <c r="AJ317" s="48"/>
      <c r="AK317" s="48"/>
      <c r="AL317" s="42"/>
      <c r="AM317" s="48"/>
      <c r="AN317" s="48"/>
      <c r="AO317" s="38"/>
      <c r="AP317" s="38"/>
      <c r="AQ317" s="38"/>
      <c r="AR317" s="38"/>
      <c r="AS317" s="38"/>
      <c r="AT317" s="51"/>
      <c r="AU317" s="52"/>
      <c r="AV317" s="38"/>
      <c r="AW317" s="41" t="s">
        <v>56</v>
      </c>
      <c r="AX317" s="54" t="s">
        <v>271</v>
      </c>
      <c r="AY317" s="54">
        <v>20235920007403</v>
      </c>
    </row>
    <row r="318" spans="2:51" s="37" customFormat="1" ht="17.25" customHeight="1" x14ac:dyDescent="0.25">
      <c r="B318" s="38">
        <v>317</v>
      </c>
      <c r="C318" s="39">
        <v>2023</v>
      </c>
      <c r="D318" s="40" t="s">
        <v>2507</v>
      </c>
      <c r="E318" s="41" t="s">
        <v>324</v>
      </c>
      <c r="F318" s="40" t="s">
        <v>97</v>
      </c>
      <c r="G318" s="40" t="s">
        <v>98</v>
      </c>
      <c r="H318" s="41" t="s">
        <v>2508</v>
      </c>
      <c r="I318" s="25" t="s">
        <v>2509</v>
      </c>
      <c r="J318" s="42" t="s">
        <v>509</v>
      </c>
      <c r="K318" s="42" t="s">
        <v>512</v>
      </c>
      <c r="L318" s="26">
        <v>1030602008</v>
      </c>
      <c r="M318" s="43">
        <v>1184</v>
      </c>
      <c r="N318" s="44">
        <v>45082</v>
      </c>
      <c r="O318" s="45">
        <v>16200000</v>
      </c>
      <c r="P318" s="46">
        <v>45104</v>
      </c>
      <c r="Q318" s="43">
        <v>46101096208</v>
      </c>
      <c r="R318" s="46">
        <v>45104</v>
      </c>
      <c r="S318" s="45" t="s">
        <v>2400</v>
      </c>
      <c r="T318" s="46">
        <v>45105</v>
      </c>
      <c r="U318" s="45">
        <v>16200000</v>
      </c>
      <c r="V318" s="43">
        <v>1180</v>
      </c>
      <c r="W318" s="44">
        <v>45104</v>
      </c>
      <c r="X318" s="47">
        <v>16200000</v>
      </c>
      <c r="Y318" s="46">
        <v>45287</v>
      </c>
      <c r="Z318" s="48" t="s">
        <v>120</v>
      </c>
      <c r="AA318" s="48"/>
      <c r="AB318" s="48"/>
      <c r="AC318" s="26"/>
      <c r="AD318" s="48"/>
      <c r="AE318" s="48"/>
      <c r="AF318" s="48"/>
      <c r="AG318" s="45"/>
      <c r="AH318" s="50">
        <f>U318+AG318</f>
        <v>16200000</v>
      </c>
      <c r="AI318" s="48"/>
      <c r="AJ318" s="48"/>
      <c r="AK318" s="48"/>
      <c r="AL318" s="42"/>
      <c r="AM318" s="48"/>
      <c r="AN318" s="48"/>
      <c r="AO318" s="38"/>
      <c r="AP318" s="38"/>
      <c r="AQ318" s="38"/>
      <c r="AR318" s="38"/>
      <c r="AS318" s="38"/>
      <c r="AT318" s="51"/>
      <c r="AU318" s="52"/>
      <c r="AV318" s="38"/>
      <c r="AW318" s="41" t="s">
        <v>56</v>
      </c>
      <c r="AX318" s="54" t="s">
        <v>271</v>
      </c>
      <c r="AY318" s="54">
        <v>20235920007123</v>
      </c>
    </row>
    <row r="319" spans="2:51" s="37" customFormat="1" ht="15" x14ac:dyDescent="0.25">
      <c r="B319" s="38">
        <v>318</v>
      </c>
      <c r="C319" s="39">
        <v>2023</v>
      </c>
      <c r="D319" s="40" t="s">
        <v>2510</v>
      </c>
      <c r="E319" s="41" t="s">
        <v>96</v>
      </c>
      <c r="F319" s="40" t="s">
        <v>97</v>
      </c>
      <c r="G319" s="40" t="s">
        <v>98</v>
      </c>
      <c r="H319" s="41" t="s">
        <v>2511</v>
      </c>
      <c r="I319" s="25" t="s">
        <v>2512</v>
      </c>
      <c r="J319" s="42" t="s">
        <v>2513</v>
      </c>
      <c r="K319" s="42" t="s">
        <v>2514</v>
      </c>
      <c r="L319" s="26">
        <v>79602263</v>
      </c>
      <c r="M319" s="43">
        <v>1195</v>
      </c>
      <c r="N319" s="44">
        <v>45091</v>
      </c>
      <c r="O319" s="45">
        <v>21600000</v>
      </c>
      <c r="P319" s="46">
        <v>45104</v>
      </c>
      <c r="Q319" s="43" t="s">
        <v>2515</v>
      </c>
      <c r="R319" s="46">
        <v>45107</v>
      </c>
      <c r="S319" s="45" t="s">
        <v>2400</v>
      </c>
      <c r="T319" s="46">
        <v>45107</v>
      </c>
      <c r="U319" s="45">
        <v>21600000</v>
      </c>
      <c r="V319" s="43">
        <v>1184</v>
      </c>
      <c r="W319" s="44">
        <v>45104</v>
      </c>
      <c r="X319" s="47">
        <v>21600000</v>
      </c>
      <c r="Y319" s="46">
        <v>45289</v>
      </c>
      <c r="Z319" s="48" t="s">
        <v>120</v>
      </c>
      <c r="AA319" s="48"/>
      <c r="AB319" s="48"/>
      <c r="AC319" s="26"/>
      <c r="AD319" s="48"/>
      <c r="AE319" s="48"/>
      <c r="AF319" s="48"/>
      <c r="AG319" s="45"/>
      <c r="AH319" s="50">
        <f>U319+AG319</f>
        <v>21600000</v>
      </c>
      <c r="AI319" s="48"/>
      <c r="AJ319" s="48"/>
      <c r="AK319" s="48"/>
      <c r="AL319" s="42"/>
      <c r="AM319" s="48"/>
      <c r="AN319" s="48"/>
      <c r="AO319" s="38"/>
      <c r="AP319" s="38"/>
      <c r="AQ319" s="38"/>
      <c r="AR319" s="38"/>
      <c r="AS319" s="38"/>
      <c r="AT319" s="51"/>
      <c r="AU319" s="52"/>
      <c r="AV319" s="38"/>
      <c r="AW319" s="41" t="s">
        <v>56</v>
      </c>
      <c r="AX319" s="54" t="s">
        <v>566</v>
      </c>
      <c r="AY319" s="54">
        <v>20235920007243</v>
      </c>
    </row>
    <row r="320" spans="2:51" s="37" customFormat="1" ht="15" x14ac:dyDescent="0.25">
      <c r="B320" s="38">
        <v>319</v>
      </c>
      <c r="C320" s="39">
        <v>2023</v>
      </c>
      <c r="D320" s="40" t="s">
        <v>2516</v>
      </c>
      <c r="E320" s="41" t="s">
        <v>518</v>
      </c>
      <c r="F320" s="40" t="s">
        <v>97</v>
      </c>
      <c r="G320" s="40" t="s">
        <v>98</v>
      </c>
      <c r="H320" s="41" t="s">
        <v>2517</v>
      </c>
      <c r="I320" s="25" t="s">
        <v>2518</v>
      </c>
      <c r="J320" s="42" t="s">
        <v>989</v>
      </c>
      <c r="K320" s="42" t="s">
        <v>1738</v>
      </c>
      <c r="L320" s="26">
        <v>3174325</v>
      </c>
      <c r="M320" s="43">
        <v>1178</v>
      </c>
      <c r="N320" s="44">
        <v>44990</v>
      </c>
      <c r="O320" s="45">
        <v>30000000</v>
      </c>
      <c r="P320" s="46">
        <v>45104</v>
      </c>
      <c r="Q320" s="43" t="s">
        <v>2519</v>
      </c>
      <c r="R320" s="46">
        <v>45105</v>
      </c>
      <c r="S320" s="45" t="s">
        <v>2400</v>
      </c>
      <c r="T320" s="46">
        <v>45105</v>
      </c>
      <c r="U320" s="45">
        <v>15000000</v>
      </c>
      <c r="V320" s="43">
        <v>1198</v>
      </c>
      <c r="W320" s="44">
        <v>45105</v>
      </c>
      <c r="X320" s="47">
        <v>15000000</v>
      </c>
      <c r="Y320" s="46">
        <v>45287</v>
      </c>
      <c r="Z320" s="48" t="s">
        <v>120</v>
      </c>
      <c r="AA320" s="48"/>
      <c r="AB320" s="48"/>
      <c r="AC320" s="26"/>
      <c r="AD320" s="48"/>
      <c r="AE320" s="48"/>
      <c r="AF320" s="48"/>
      <c r="AG320" s="45"/>
      <c r="AH320" s="50">
        <f>U320+AG320</f>
        <v>15000000</v>
      </c>
      <c r="AI320" s="48"/>
      <c r="AJ320" s="48"/>
      <c r="AK320" s="48"/>
      <c r="AL320" s="42"/>
      <c r="AM320" s="48"/>
      <c r="AN320" s="48"/>
      <c r="AO320" s="38"/>
      <c r="AP320" s="38"/>
      <c r="AQ320" s="38"/>
      <c r="AR320" s="38"/>
      <c r="AS320" s="38"/>
      <c r="AT320" s="51"/>
      <c r="AU320" s="52"/>
      <c r="AV320" s="38"/>
      <c r="AW320" s="41" t="s">
        <v>56</v>
      </c>
      <c r="AX320" s="54" t="s">
        <v>123</v>
      </c>
      <c r="AY320" s="54">
        <v>20235920007183</v>
      </c>
    </row>
    <row r="321" spans="2:51" s="37" customFormat="1" ht="15" customHeight="1" x14ac:dyDescent="0.25">
      <c r="B321" s="38">
        <v>320</v>
      </c>
      <c r="C321" s="39">
        <v>2023</v>
      </c>
      <c r="D321" s="40" t="s">
        <v>2520</v>
      </c>
      <c r="E321" s="41" t="s">
        <v>518</v>
      </c>
      <c r="F321" s="40" t="s">
        <v>97</v>
      </c>
      <c r="G321" s="40" t="s">
        <v>98</v>
      </c>
      <c r="H321" s="41" t="s">
        <v>2521</v>
      </c>
      <c r="I321" s="25" t="s">
        <v>569</v>
      </c>
      <c r="J321" s="42" t="s">
        <v>569</v>
      </c>
      <c r="K321" s="42" t="s">
        <v>1804</v>
      </c>
      <c r="L321" s="26">
        <v>1032450695</v>
      </c>
      <c r="M321" s="43">
        <v>1178</v>
      </c>
      <c r="N321" s="44">
        <v>45082</v>
      </c>
      <c r="O321" s="45">
        <v>30000000</v>
      </c>
      <c r="P321" s="43" t="s">
        <v>569</v>
      </c>
      <c r="Q321" s="43" t="s">
        <v>569</v>
      </c>
      <c r="R321" s="43" t="s">
        <v>569</v>
      </c>
      <c r="S321" s="43" t="s">
        <v>569</v>
      </c>
      <c r="T321" s="43" t="s">
        <v>569</v>
      </c>
      <c r="U321" s="43" t="s">
        <v>569</v>
      </c>
      <c r="V321" s="43" t="s">
        <v>569</v>
      </c>
      <c r="W321" s="44" t="s">
        <v>569</v>
      </c>
      <c r="X321" s="43" t="s">
        <v>569</v>
      </c>
      <c r="Y321" s="43" t="s">
        <v>569</v>
      </c>
      <c r="Z321" s="48" t="s">
        <v>120</v>
      </c>
      <c r="AA321" s="49" t="s">
        <v>121</v>
      </c>
      <c r="AB321" s="49" t="s">
        <v>121</v>
      </c>
      <c r="AC321" s="26" t="s">
        <v>121</v>
      </c>
      <c r="AD321" s="49" t="s">
        <v>121</v>
      </c>
      <c r="AE321" s="49" t="s">
        <v>121</v>
      </c>
      <c r="AF321" s="49" t="s">
        <v>121</v>
      </c>
      <c r="AG321" s="45" t="s">
        <v>121</v>
      </c>
      <c r="AH321" s="49" t="s">
        <v>121</v>
      </c>
      <c r="AI321" s="48" t="s">
        <v>121</v>
      </c>
      <c r="AJ321" s="49" t="s">
        <v>121</v>
      </c>
      <c r="AK321" s="49" t="s">
        <v>121</v>
      </c>
      <c r="AL321" s="42" t="s">
        <v>121</v>
      </c>
      <c r="AM321" s="48" t="s">
        <v>121</v>
      </c>
      <c r="AN321" s="48" t="s">
        <v>121</v>
      </c>
      <c r="AO321" s="49" t="s">
        <v>121</v>
      </c>
      <c r="AP321" s="49" t="s">
        <v>121</v>
      </c>
      <c r="AQ321" s="49" t="s">
        <v>121</v>
      </c>
      <c r="AR321" s="49" t="s">
        <v>121</v>
      </c>
      <c r="AS321" s="49" t="s">
        <v>121</v>
      </c>
      <c r="AT321" s="49" t="s">
        <v>121</v>
      </c>
      <c r="AU321" s="49" t="s">
        <v>121</v>
      </c>
      <c r="AV321" s="49" t="s">
        <v>121</v>
      </c>
      <c r="AW321" s="41" t="s">
        <v>569</v>
      </c>
      <c r="AX321" s="41" t="s">
        <v>569</v>
      </c>
      <c r="AY321" s="54" t="s">
        <v>569</v>
      </c>
    </row>
    <row r="322" spans="2:51" s="37" customFormat="1" ht="28.5" x14ac:dyDescent="0.25">
      <c r="B322" s="38">
        <v>321</v>
      </c>
      <c r="C322" s="39">
        <v>2023</v>
      </c>
      <c r="D322" s="40" t="s">
        <v>2522</v>
      </c>
      <c r="E322" s="41" t="s">
        <v>518</v>
      </c>
      <c r="F322" s="40" t="s">
        <v>97</v>
      </c>
      <c r="G322" s="40" t="s">
        <v>98</v>
      </c>
      <c r="H322" s="41" t="s">
        <v>2523</v>
      </c>
      <c r="I322" s="25" t="s">
        <v>2524</v>
      </c>
      <c r="J322" s="42" t="s">
        <v>2525</v>
      </c>
      <c r="K322" s="42" t="s">
        <v>2526</v>
      </c>
      <c r="L322" s="26">
        <v>79966899</v>
      </c>
      <c r="M322" s="43">
        <v>1196</v>
      </c>
      <c r="N322" s="44">
        <v>45093</v>
      </c>
      <c r="O322" s="45">
        <v>54240000</v>
      </c>
      <c r="P322" s="46">
        <v>45104</v>
      </c>
      <c r="Q322" s="43" t="s">
        <v>2527</v>
      </c>
      <c r="R322" s="46">
        <v>45106</v>
      </c>
      <c r="S322" s="45" t="s">
        <v>2528</v>
      </c>
      <c r="T322" s="46">
        <v>45106</v>
      </c>
      <c r="U322" s="45">
        <v>27120000</v>
      </c>
      <c r="V322" s="43">
        <v>1215</v>
      </c>
      <c r="W322" s="44">
        <v>45105</v>
      </c>
      <c r="X322" s="47">
        <v>27120000</v>
      </c>
      <c r="Y322" s="46">
        <v>45288</v>
      </c>
      <c r="Z322" s="48" t="s">
        <v>109</v>
      </c>
      <c r="AA322" s="49">
        <v>45141</v>
      </c>
      <c r="AB322" s="48" t="s">
        <v>2529</v>
      </c>
      <c r="AC322" s="26">
        <v>1016105475</v>
      </c>
      <c r="AD322" s="48" t="s">
        <v>2530</v>
      </c>
      <c r="AE322" s="49">
        <v>45142</v>
      </c>
      <c r="AF322" s="48"/>
      <c r="AG322" s="45"/>
      <c r="AH322" s="50">
        <f>U322+AG322</f>
        <v>27120000</v>
      </c>
      <c r="AI322" s="48"/>
      <c r="AJ322" s="48"/>
      <c r="AK322" s="48"/>
      <c r="AL322" s="42"/>
      <c r="AM322" s="48"/>
      <c r="AN322" s="48"/>
      <c r="AO322" s="38"/>
      <c r="AP322" s="38"/>
      <c r="AQ322" s="38"/>
      <c r="AR322" s="38"/>
      <c r="AS322" s="38"/>
      <c r="AT322" s="51"/>
      <c r="AU322" s="52"/>
      <c r="AV322" s="38"/>
      <c r="AW322" s="41" t="s">
        <v>137</v>
      </c>
      <c r="AX322" s="54" t="s">
        <v>345</v>
      </c>
      <c r="AY322" s="54">
        <v>20235920007173</v>
      </c>
    </row>
    <row r="323" spans="2:51" s="37" customFormat="1" ht="15" x14ac:dyDescent="0.25">
      <c r="B323" s="38">
        <v>322</v>
      </c>
      <c r="C323" s="39">
        <v>2023</v>
      </c>
      <c r="D323" s="40" t="s">
        <v>2531</v>
      </c>
      <c r="E323" s="41" t="s">
        <v>113</v>
      </c>
      <c r="F323" s="40" t="s">
        <v>97</v>
      </c>
      <c r="G323" s="40" t="s">
        <v>98</v>
      </c>
      <c r="H323" s="41" t="s">
        <v>2532</v>
      </c>
      <c r="I323" s="25" t="s">
        <v>2533</v>
      </c>
      <c r="J323" s="42" t="s">
        <v>989</v>
      </c>
      <c r="K323" s="42" t="s">
        <v>2534</v>
      </c>
      <c r="L323" s="26">
        <v>1032402280</v>
      </c>
      <c r="M323" s="43">
        <v>1190</v>
      </c>
      <c r="N323" s="44">
        <v>45084</v>
      </c>
      <c r="O323" s="45">
        <v>105000000</v>
      </c>
      <c r="P323" s="46">
        <v>45103</v>
      </c>
      <c r="Q323" s="43" t="s">
        <v>2535</v>
      </c>
      <c r="R323" s="46">
        <v>45104</v>
      </c>
      <c r="S323" s="45" t="s">
        <v>2400</v>
      </c>
      <c r="T323" s="46">
        <v>45105</v>
      </c>
      <c r="U323" s="45">
        <v>15000000</v>
      </c>
      <c r="V323" s="43">
        <v>1183</v>
      </c>
      <c r="W323" s="44">
        <v>45104</v>
      </c>
      <c r="X323" s="47">
        <v>15000000</v>
      </c>
      <c r="Y323" s="46">
        <v>45287</v>
      </c>
      <c r="Z323" s="48" t="s">
        <v>120</v>
      </c>
      <c r="AA323" s="48"/>
      <c r="AB323" s="48"/>
      <c r="AC323" s="26"/>
      <c r="AD323" s="48"/>
      <c r="AE323" s="48"/>
      <c r="AF323" s="48"/>
      <c r="AG323" s="45"/>
      <c r="AH323" s="50">
        <f>U323+AG323</f>
        <v>15000000</v>
      </c>
      <c r="AI323" s="48"/>
      <c r="AJ323" s="48"/>
      <c r="AK323" s="48"/>
      <c r="AL323" s="42"/>
      <c r="AM323" s="48"/>
      <c r="AN323" s="48"/>
      <c r="AO323" s="38"/>
      <c r="AP323" s="38"/>
      <c r="AQ323" s="38"/>
      <c r="AR323" s="38"/>
      <c r="AS323" s="38"/>
      <c r="AT323" s="51"/>
      <c r="AU323" s="52"/>
      <c r="AV323" s="38"/>
      <c r="AW323" s="41" t="s">
        <v>56</v>
      </c>
      <c r="AX323" s="54" t="s">
        <v>123</v>
      </c>
      <c r="AY323" s="54">
        <v>20235920007213</v>
      </c>
    </row>
    <row r="324" spans="2:51" s="37" customFormat="1" ht="15" x14ac:dyDescent="0.25">
      <c r="B324" s="38">
        <v>323</v>
      </c>
      <c r="C324" s="39">
        <v>2023</v>
      </c>
      <c r="D324" s="40" t="s">
        <v>2536</v>
      </c>
      <c r="E324" s="41" t="s">
        <v>113</v>
      </c>
      <c r="F324" s="40" t="s">
        <v>97</v>
      </c>
      <c r="G324" s="40" t="s">
        <v>98</v>
      </c>
      <c r="H324" s="41" t="s">
        <v>2537</v>
      </c>
      <c r="I324" s="25" t="s">
        <v>2538</v>
      </c>
      <c r="J324" s="42" t="s">
        <v>989</v>
      </c>
      <c r="K324" s="42" t="s">
        <v>169</v>
      </c>
      <c r="L324" s="26">
        <v>1016040374</v>
      </c>
      <c r="M324" s="43">
        <v>1190</v>
      </c>
      <c r="N324" s="44">
        <v>45084</v>
      </c>
      <c r="O324" s="45">
        <v>105000000</v>
      </c>
      <c r="P324" s="46">
        <v>45104</v>
      </c>
      <c r="Q324" s="43" t="s">
        <v>2539</v>
      </c>
      <c r="R324" s="46">
        <v>45105</v>
      </c>
      <c r="S324" s="45" t="s">
        <v>2400</v>
      </c>
      <c r="T324" s="46">
        <v>45105</v>
      </c>
      <c r="U324" s="45">
        <v>15000000</v>
      </c>
      <c r="V324" s="43">
        <v>1203</v>
      </c>
      <c r="W324" s="44">
        <v>45105</v>
      </c>
      <c r="X324" s="47">
        <v>15000000</v>
      </c>
      <c r="Y324" s="46">
        <v>45287</v>
      </c>
      <c r="Z324" s="48" t="s">
        <v>120</v>
      </c>
      <c r="AA324" s="48"/>
      <c r="AB324" s="48"/>
      <c r="AC324" s="26"/>
      <c r="AD324" s="48"/>
      <c r="AE324" s="48"/>
      <c r="AF324" s="48"/>
      <c r="AG324" s="45"/>
      <c r="AH324" s="50">
        <f>U324+AG324</f>
        <v>15000000</v>
      </c>
      <c r="AI324" s="48"/>
      <c r="AJ324" s="48"/>
      <c r="AK324" s="48"/>
      <c r="AL324" s="42"/>
      <c r="AM324" s="48"/>
      <c r="AN324" s="48"/>
      <c r="AO324" s="38"/>
      <c r="AP324" s="38"/>
      <c r="AQ324" s="38"/>
      <c r="AR324" s="38"/>
      <c r="AS324" s="38"/>
      <c r="AT324" s="51"/>
      <c r="AU324" s="52"/>
      <c r="AV324" s="38"/>
      <c r="AW324" s="40" t="s">
        <v>56</v>
      </c>
      <c r="AX324" s="54" t="s">
        <v>123</v>
      </c>
      <c r="AY324" s="54">
        <v>20235920007213</v>
      </c>
    </row>
    <row r="325" spans="2:51" s="37" customFormat="1" ht="15" x14ac:dyDescent="0.25">
      <c r="B325" s="38">
        <v>324</v>
      </c>
      <c r="C325" s="39">
        <v>2023</v>
      </c>
      <c r="D325" s="40" t="s">
        <v>2540</v>
      </c>
      <c r="E325" s="41" t="s">
        <v>2010</v>
      </c>
      <c r="F325" s="40" t="s">
        <v>97</v>
      </c>
      <c r="G325" s="40" t="s">
        <v>98</v>
      </c>
      <c r="H325" s="41" t="s">
        <v>2541</v>
      </c>
      <c r="I325" s="25" t="s">
        <v>2542</v>
      </c>
      <c r="J325" s="42" t="s">
        <v>509</v>
      </c>
      <c r="K325" s="42" t="s">
        <v>1044</v>
      </c>
      <c r="L325" s="26">
        <v>19339968</v>
      </c>
      <c r="M325" s="43">
        <v>1180</v>
      </c>
      <c r="N325" s="44">
        <v>45082</v>
      </c>
      <c r="O325" s="45">
        <v>145800000</v>
      </c>
      <c r="P325" s="46">
        <v>45104</v>
      </c>
      <c r="Q325" s="43" t="s">
        <v>2543</v>
      </c>
      <c r="R325" s="46">
        <v>45105</v>
      </c>
      <c r="S325" s="45" t="s">
        <v>2400</v>
      </c>
      <c r="T325" s="46">
        <v>45106</v>
      </c>
      <c r="U325" s="45">
        <v>16200000</v>
      </c>
      <c r="V325" s="43">
        <v>1190</v>
      </c>
      <c r="W325" s="44">
        <v>45105</v>
      </c>
      <c r="X325" s="47">
        <v>16200000</v>
      </c>
      <c r="Y325" s="46">
        <v>45288</v>
      </c>
      <c r="Z325" s="48" t="s">
        <v>120</v>
      </c>
      <c r="AA325" s="48"/>
      <c r="AB325" s="48"/>
      <c r="AC325" s="26"/>
      <c r="AD325" s="48"/>
      <c r="AE325" s="48"/>
      <c r="AF325" s="48"/>
      <c r="AG325" s="45"/>
      <c r="AH325" s="50">
        <f>U325+AG325</f>
        <v>16200000</v>
      </c>
      <c r="AI325" s="48"/>
      <c r="AJ325" s="48"/>
      <c r="AK325" s="48"/>
      <c r="AL325" s="42"/>
      <c r="AM325" s="48"/>
      <c r="AN325" s="48"/>
      <c r="AO325" s="38"/>
      <c r="AP325" s="38"/>
      <c r="AQ325" s="38"/>
      <c r="AR325" s="38"/>
      <c r="AS325" s="38"/>
      <c r="AT325" s="51"/>
      <c r="AU325" s="52"/>
      <c r="AV325" s="38"/>
      <c r="AW325" s="40" t="s">
        <v>56</v>
      </c>
      <c r="AX325" s="54" t="s">
        <v>271</v>
      </c>
      <c r="AY325" s="54">
        <v>20235920007103</v>
      </c>
    </row>
    <row r="326" spans="2:51" s="37" customFormat="1" ht="15" x14ac:dyDescent="0.25">
      <c r="B326" s="38">
        <v>325</v>
      </c>
      <c r="C326" s="39">
        <v>2023</v>
      </c>
      <c r="D326" s="40" t="s">
        <v>2544</v>
      </c>
      <c r="E326" s="41" t="s">
        <v>199</v>
      </c>
      <c r="F326" s="40" t="s">
        <v>97</v>
      </c>
      <c r="G326" s="40" t="s">
        <v>98</v>
      </c>
      <c r="H326" s="41" t="s">
        <v>2545</v>
      </c>
      <c r="I326" s="25" t="s">
        <v>2546</v>
      </c>
      <c r="J326" s="42" t="s">
        <v>989</v>
      </c>
      <c r="K326" s="42" t="s">
        <v>2547</v>
      </c>
      <c r="L326" s="26">
        <v>80108389</v>
      </c>
      <c r="M326" s="43">
        <v>1186</v>
      </c>
      <c r="N326" s="44">
        <v>45084</v>
      </c>
      <c r="O326" s="45">
        <v>30000000</v>
      </c>
      <c r="P326" s="46">
        <v>45104</v>
      </c>
      <c r="Q326" s="43" t="s">
        <v>2548</v>
      </c>
      <c r="R326" s="46">
        <v>45105</v>
      </c>
      <c r="S326" s="45" t="s">
        <v>2400</v>
      </c>
      <c r="T326" s="46">
        <v>45105</v>
      </c>
      <c r="U326" s="45">
        <v>15000000</v>
      </c>
      <c r="V326" s="43">
        <v>1208</v>
      </c>
      <c r="W326" s="44">
        <v>45013</v>
      </c>
      <c r="X326" s="47">
        <v>15000000</v>
      </c>
      <c r="Y326" s="46">
        <v>45287</v>
      </c>
      <c r="Z326" s="48" t="s">
        <v>120</v>
      </c>
      <c r="AA326" s="48"/>
      <c r="AB326" s="48"/>
      <c r="AC326" s="26"/>
      <c r="AD326" s="48"/>
      <c r="AE326" s="48"/>
      <c r="AF326" s="48"/>
      <c r="AG326" s="45"/>
      <c r="AH326" s="50">
        <f>U326+AG326</f>
        <v>15000000</v>
      </c>
      <c r="AI326" s="48"/>
      <c r="AJ326" s="48"/>
      <c r="AK326" s="48"/>
      <c r="AL326" s="42"/>
      <c r="AM326" s="48"/>
      <c r="AN326" s="48"/>
      <c r="AO326" s="38"/>
      <c r="AP326" s="38"/>
      <c r="AQ326" s="38"/>
      <c r="AR326" s="38"/>
      <c r="AS326" s="38"/>
      <c r="AT326" s="51"/>
      <c r="AU326" s="52"/>
      <c r="AV326" s="38"/>
      <c r="AW326" s="41" t="s">
        <v>56</v>
      </c>
      <c r="AX326" s="54" t="s">
        <v>123</v>
      </c>
      <c r="AY326" s="54">
        <v>20235920007413</v>
      </c>
    </row>
    <row r="327" spans="2:51" s="37" customFormat="1" ht="15" customHeight="1" x14ac:dyDescent="0.25">
      <c r="B327" s="38">
        <v>326</v>
      </c>
      <c r="C327" s="39">
        <v>2023</v>
      </c>
      <c r="D327" s="40" t="s">
        <v>2549</v>
      </c>
      <c r="E327" s="41" t="s">
        <v>199</v>
      </c>
      <c r="F327" s="40" t="s">
        <v>97</v>
      </c>
      <c r="G327" s="40" t="s">
        <v>98</v>
      </c>
      <c r="H327" s="41" t="s">
        <v>2550</v>
      </c>
      <c r="I327" s="25" t="s">
        <v>2551</v>
      </c>
      <c r="J327" s="42" t="s">
        <v>989</v>
      </c>
      <c r="K327" s="42" t="s">
        <v>2552</v>
      </c>
      <c r="L327" s="26">
        <v>79118454</v>
      </c>
      <c r="M327" s="43">
        <v>1186</v>
      </c>
      <c r="N327" s="44">
        <v>45084</v>
      </c>
      <c r="O327" s="45">
        <v>30000000</v>
      </c>
      <c r="P327" s="46">
        <v>45104</v>
      </c>
      <c r="Q327" s="43" t="s">
        <v>2553</v>
      </c>
      <c r="R327" s="46">
        <v>45111</v>
      </c>
      <c r="S327" s="45" t="s">
        <v>2400</v>
      </c>
      <c r="T327" s="46">
        <v>45111</v>
      </c>
      <c r="U327" s="45">
        <v>15000000</v>
      </c>
      <c r="V327" s="43">
        <v>1211</v>
      </c>
      <c r="W327" s="44">
        <v>45013</v>
      </c>
      <c r="X327" s="47">
        <v>15000000</v>
      </c>
      <c r="Y327" s="46">
        <v>45294</v>
      </c>
      <c r="Z327" s="48" t="s">
        <v>120</v>
      </c>
      <c r="AA327" s="48"/>
      <c r="AB327" s="48"/>
      <c r="AC327" s="26"/>
      <c r="AD327" s="48"/>
      <c r="AE327" s="48"/>
      <c r="AF327" s="48"/>
      <c r="AG327" s="45"/>
      <c r="AH327" s="50">
        <f>U327+AG327</f>
        <v>15000000</v>
      </c>
      <c r="AI327" s="48"/>
      <c r="AJ327" s="48"/>
      <c r="AK327" s="48"/>
      <c r="AL327" s="42"/>
      <c r="AM327" s="48"/>
      <c r="AN327" s="48"/>
      <c r="AO327" s="38"/>
      <c r="AP327" s="38"/>
      <c r="AQ327" s="38"/>
      <c r="AR327" s="38"/>
      <c r="AS327" s="38"/>
      <c r="AT327" s="51"/>
      <c r="AU327" s="52"/>
      <c r="AV327" s="38"/>
      <c r="AW327" s="41" t="s">
        <v>56</v>
      </c>
      <c r="AX327" s="54" t="s">
        <v>123</v>
      </c>
      <c r="AY327" s="54">
        <v>20235920007413</v>
      </c>
    </row>
    <row r="328" spans="2:51" s="37" customFormat="1" ht="15" customHeight="1" x14ac:dyDescent="0.25">
      <c r="B328" s="38">
        <v>327</v>
      </c>
      <c r="C328" s="39">
        <v>2023</v>
      </c>
      <c r="D328" s="40" t="s">
        <v>2554</v>
      </c>
      <c r="E328" s="41" t="s">
        <v>153</v>
      </c>
      <c r="F328" s="40" t="s">
        <v>97</v>
      </c>
      <c r="G328" s="40" t="s">
        <v>98</v>
      </c>
      <c r="H328" s="41" t="s">
        <v>2555</v>
      </c>
      <c r="I328" s="25" t="s">
        <v>2556</v>
      </c>
      <c r="J328" s="42" t="s">
        <v>563</v>
      </c>
      <c r="K328" s="42" t="s">
        <v>2557</v>
      </c>
      <c r="L328" s="26">
        <v>1030611428</v>
      </c>
      <c r="M328" s="43">
        <v>1188</v>
      </c>
      <c r="N328" s="44">
        <v>45084</v>
      </c>
      <c r="O328" s="45">
        <v>72000000</v>
      </c>
      <c r="P328" s="46">
        <v>45105</v>
      </c>
      <c r="Q328" s="43" t="s">
        <v>2558</v>
      </c>
      <c r="R328" s="46">
        <v>45105</v>
      </c>
      <c r="S328" s="45" t="s">
        <v>2400</v>
      </c>
      <c r="T328" s="46">
        <v>45105</v>
      </c>
      <c r="U328" s="45">
        <v>36000000</v>
      </c>
      <c r="V328" s="43">
        <v>1200</v>
      </c>
      <c r="W328" s="44">
        <v>45013</v>
      </c>
      <c r="X328" s="47">
        <v>36000000</v>
      </c>
      <c r="Y328" s="46">
        <v>45287</v>
      </c>
      <c r="Z328" s="48" t="s">
        <v>120</v>
      </c>
      <c r="AA328" s="48"/>
      <c r="AB328" s="48"/>
      <c r="AC328" s="26"/>
      <c r="AD328" s="48"/>
      <c r="AE328" s="48"/>
      <c r="AF328" s="48"/>
      <c r="AG328" s="45"/>
      <c r="AH328" s="50">
        <f>U328+AG328</f>
        <v>36000000</v>
      </c>
      <c r="AI328" s="48"/>
      <c r="AJ328" s="48"/>
      <c r="AK328" s="48"/>
      <c r="AL328" s="42"/>
      <c r="AM328" s="48"/>
      <c r="AN328" s="48"/>
      <c r="AO328" s="38"/>
      <c r="AP328" s="38"/>
      <c r="AQ328" s="38"/>
      <c r="AR328" s="38"/>
      <c r="AS328" s="38"/>
      <c r="AT328" s="51"/>
      <c r="AU328" s="52"/>
      <c r="AV328" s="38"/>
      <c r="AW328" s="41" t="s">
        <v>56</v>
      </c>
      <c r="AX328" s="54" t="s">
        <v>566</v>
      </c>
      <c r="AY328" s="54">
        <v>20235920006843</v>
      </c>
    </row>
    <row r="329" spans="2:51" s="37" customFormat="1" ht="15" customHeight="1" x14ac:dyDescent="0.25">
      <c r="B329" s="38">
        <v>328</v>
      </c>
      <c r="C329" s="39">
        <v>2023</v>
      </c>
      <c r="D329" s="40" t="s">
        <v>2559</v>
      </c>
      <c r="E329" s="41" t="s">
        <v>153</v>
      </c>
      <c r="F329" s="40" t="s">
        <v>97</v>
      </c>
      <c r="G329" s="40" t="s">
        <v>98</v>
      </c>
      <c r="H329" s="41" t="s">
        <v>2560</v>
      </c>
      <c r="I329" s="25" t="s">
        <v>2561</v>
      </c>
      <c r="J329" s="42" t="s">
        <v>563</v>
      </c>
      <c r="K329" s="42" t="s">
        <v>2562</v>
      </c>
      <c r="L329" s="26">
        <v>1010236448</v>
      </c>
      <c r="M329" s="43">
        <v>1188</v>
      </c>
      <c r="N329" s="44">
        <v>45084</v>
      </c>
      <c r="O329" s="45">
        <v>72000000</v>
      </c>
      <c r="P329" s="46">
        <v>45105</v>
      </c>
      <c r="Q329" s="43" t="s">
        <v>2563</v>
      </c>
      <c r="R329" s="46">
        <v>45105</v>
      </c>
      <c r="S329" s="45" t="s">
        <v>2400</v>
      </c>
      <c r="T329" s="46">
        <v>45105</v>
      </c>
      <c r="U329" s="45">
        <v>36000000</v>
      </c>
      <c r="V329" s="43">
        <v>1199</v>
      </c>
      <c r="W329" s="44">
        <v>45013</v>
      </c>
      <c r="X329" s="47">
        <v>36000000</v>
      </c>
      <c r="Y329" s="46">
        <v>45287</v>
      </c>
      <c r="Z329" s="48" t="s">
        <v>120</v>
      </c>
      <c r="AA329" s="48"/>
      <c r="AB329" s="48"/>
      <c r="AC329" s="26"/>
      <c r="AD329" s="48"/>
      <c r="AE329" s="48"/>
      <c r="AF329" s="48"/>
      <c r="AG329" s="45"/>
      <c r="AH329" s="50">
        <f>U329+AG329</f>
        <v>36000000</v>
      </c>
      <c r="AI329" s="48"/>
      <c r="AJ329" s="48"/>
      <c r="AK329" s="48"/>
      <c r="AL329" s="42"/>
      <c r="AM329" s="48"/>
      <c r="AN329" s="48"/>
      <c r="AO329" s="38"/>
      <c r="AP329" s="38"/>
      <c r="AQ329" s="38"/>
      <c r="AR329" s="38"/>
      <c r="AS329" s="38"/>
      <c r="AT329" s="51"/>
      <c r="AU329" s="52"/>
      <c r="AV329" s="38"/>
      <c r="AW329" s="41" t="s">
        <v>56</v>
      </c>
      <c r="AX329" s="54" t="s">
        <v>566</v>
      </c>
      <c r="AY329" s="54">
        <v>20235920006833</v>
      </c>
    </row>
    <row r="330" spans="2:51" s="37" customFormat="1" ht="15" customHeight="1" x14ac:dyDescent="0.25">
      <c r="B330" s="38">
        <v>329</v>
      </c>
      <c r="C330" s="39">
        <v>2023</v>
      </c>
      <c r="D330" s="40" t="s">
        <v>2564</v>
      </c>
      <c r="E330" s="41" t="s">
        <v>153</v>
      </c>
      <c r="F330" s="40" t="s">
        <v>97</v>
      </c>
      <c r="G330" s="40" t="s">
        <v>98</v>
      </c>
      <c r="H330" s="41" t="s">
        <v>2565</v>
      </c>
      <c r="I330" s="25" t="s">
        <v>2566</v>
      </c>
      <c r="J330" s="42" t="s">
        <v>989</v>
      </c>
      <c r="K330" s="42" t="s">
        <v>2567</v>
      </c>
      <c r="L330" s="26">
        <v>1016051812</v>
      </c>
      <c r="M330" s="43">
        <v>1185</v>
      </c>
      <c r="N330" s="44">
        <v>45084</v>
      </c>
      <c r="O330" s="45">
        <v>15000000</v>
      </c>
      <c r="P330" s="46">
        <v>45105</v>
      </c>
      <c r="Q330" s="43" t="s">
        <v>2568</v>
      </c>
      <c r="R330" s="46">
        <v>45105</v>
      </c>
      <c r="S330" s="45" t="s">
        <v>2400</v>
      </c>
      <c r="T330" s="46">
        <v>45106</v>
      </c>
      <c r="U330" s="45">
        <v>15000000</v>
      </c>
      <c r="V330" s="43">
        <v>1196</v>
      </c>
      <c r="W330" s="44">
        <v>45013</v>
      </c>
      <c r="X330" s="47">
        <v>15000000</v>
      </c>
      <c r="Y330" s="46">
        <v>45288</v>
      </c>
      <c r="Z330" s="48" t="s">
        <v>120</v>
      </c>
      <c r="AA330" s="48"/>
      <c r="AB330" s="48"/>
      <c r="AC330" s="26"/>
      <c r="AD330" s="48"/>
      <c r="AE330" s="48"/>
      <c r="AF330" s="48"/>
      <c r="AG330" s="45"/>
      <c r="AH330" s="50">
        <f>U330+AG330</f>
        <v>15000000</v>
      </c>
      <c r="AI330" s="48"/>
      <c r="AJ330" s="48"/>
      <c r="AK330" s="48"/>
      <c r="AL330" s="42"/>
      <c r="AM330" s="48"/>
      <c r="AN330" s="48"/>
      <c r="AO330" s="38"/>
      <c r="AP330" s="38"/>
      <c r="AQ330" s="38"/>
      <c r="AR330" s="38"/>
      <c r="AS330" s="38"/>
      <c r="AT330" s="51"/>
      <c r="AU330" s="52"/>
      <c r="AV330" s="38"/>
      <c r="AW330" s="41" t="s">
        <v>56</v>
      </c>
      <c r="AX330" s="54" t="s">
        <v>123</v>
      </c>
      <c r="AY330" s="54">
        <v>20235920006863</v>
      </c>
    </row>
    <row r="331" spans="2:51" s="37" customFormat="1" ht="15" x14ac:dyDescent="0.25">
      <c r="B331" s="38">
        <v>330</v>
      </c>
      <c r="C331" s="39">
        <v>2023</v>
      </c>
      <c r="D331" s="40" t="s">
        <v>2569</v>
      </c>
      <c r="E331" s="41" t="s">
        <v>113</v>
      </c>
      <c r="F331" s="40" t="s">
        <v>97</v>
      </c>
      <c r="G331" s="40" t="s">
        <v>98</v>
      </c>
      <c r="H331" s="41" t="s">
        <v>2570</v>
      </c>
      <c r="I331" s="25" t="s">
        <v>2571</v>
      </c>
      <c r="J331" s="42" t="s">
        <v>989</v>
      </c>
      <c r="K331" s="42" t="s">
        <v>2572</v>
      </c>
      <c r="L331" s="26">
        <v>1016052722</v>
      </c>
      <c r="M331" s="43">
        <v>1190</v>
      </c>
      <c r="N331" s="44">
        <v>45084</v>
      </c>
      <c r="O331" s="45">
        <v>105000000</v>
      </c>
      <c r="P331" s="46">
        <v>45104</v>
      </c>
      <c r="Q331" s="43" t="s">
        <v>2573</v>
      </c>
      <c r="R331" s="46">
        <v>45105</v>
      </c>
      <c r="S331" s="45" t="s">
        <v>2400</v>
      </c>
      <c r="T331" s="46">
        <v>45105</v>
      </c>
      <c r="U331" s="45">
        <v>15000000</v>
      </c>
      <c r="V331" s="43">
        <v>1202</v>
      </c>
      <c r="W331" s="44">
        <v>45105</v>
      </c>
      <c r="X331" s="47">
        <v>15000000</v>
      </c>
      <c r="Y331" s="46">
        <v>45287</v>
      </c>
      <c r="Z331" s="48" t="s">
        <v>120</v>
      </c>
      <c r="AA331" s="48"/>
      <c r="AB331" s="48"/>
      <c r="AC331" s="26"/>
      <c r="AD331" s="48"/>
      <c r="AE331" s="48"/>
      <c r="AF331" s="48"/>
      <c r="AG331" s="45"/>
      <c r="AH331" s="50">
        <f>U331+AG331</f>
        <v>15000000</v>
      </c>
      <c r="AI331" s="48"/>
      <c r="AJ331" s="48"/>
      <c r="AK331" s="48"/>
      <c r="AL331" s="42"/>
      <c r="AM331" s="48"/>
      <c r="AN331" s="48"/>
      <c r="AO331" s="38"/>
      <c r="AP331" s="38"/>
      <c r="AQ331" s="38"/>
      <c r="AR331" s="38"/>
      <c r="AS331" s="38"/>
      <c r="AT331" s="51"/>
      <c r="AU331" s="52"/>
      <c r="AV331" s="38"/>
      <c r="AW331" s="40" t="s">
        <v>56</v>
      </c>
      <c r="AX331" s="54" t="s">
        <v>123</v>
      </c>
      <c r="AY331" s="54">
        <v>20235920007213</v>
      </c>
    </row>
    <row r="332" spans="2:51" s="37" customFormat="1" ht="15" x14ac:dyDescent="0.25">
      <c r="B332" s="38">
        <v>331</v>
      </c>
      <c r="C332" s="39">
        <v>2023</v>
      </c>
      <c r="D332" s="40" t="s">
        <v>2574</v>
      </c>
      <c r="E332" s="41" t="s">
        <v>113</v>
      </c>
      <c r="F332" s="40" t="s">
        <v>97</v>
      </c>
      <c r="G332" s="40" t="s">
        <v>98</v>
      </c>
      <c r="H332" s="41" t="s">
        <v>2575</v>
      </c>
      <c r="I332" s="25" t="s">
        <v>2576</v>
      </c>
      <c r="J332" s="42" t="s">
        <v>989</v>
      </c>
      <c r="K332" s="42" t="s">
        <v>2577</v>
      </c>
      <c r="L332" s="26">
        <v>80804691</v>
      </c>
      <c r="M332" s="43">
        <v>1190</v>
      </c>
      <c r="N332" s="44">
        <v>45084</v>
      </c>
      <c r="O332" s="45">
        <v>105000000</v>
      </c>
      <c r="P332" s="46">
        <v>45104</v>
      </c>
      <c r="Q332" s="46" t="s">
        <v>2578</v>
      </c>
      <c r="R332" s="46">
        <v>45105</v>
      </c>
      <c r="S332" s="45" t="s">
        <v>2400</v>
      </c>
      <c r="T332" s="46">
        <v>45105</v>
      </c>
      <c r="U332" s="45">
        <v>15000000</v>
      </c>
      <c r="V332" s="43">
        <v>1204</v>
      </c>
      <c r="W332" s="44">
        <v>45105</v>
      </c>
      <c r="X332" s="47">
        <v>15000000</v>
      </c>
      <c r="Y332" s="46">
        <v>45287</v>
      </c>
      <c r="Z332" s="48" t="s">
        <v>120</v>
      </c>
      <c r="AA332" s="48"/>
      <c r="AB332" s="48"/>
      <c r="AC332" s="26"/>
      <c r="AD332" s="48"/>
      <c r="AE332" s="48"/>
      <c r="AF332" s="48"/>
      <c r="AG332" s="45"/>
      <c r="AH332" s="50">
        <f>U332+AG332</f>
        <v>15000000</v>
      </c>
      <c r="AI332" s="48"/>
      <c r="AJ332" s="48"/>
      <c r="AK332" s="48"/>
      <c r="AL332" s="42"/>
      <c r="AM332" s="48"/>
      <c r="AN332" s="48"/>
      <c r="AO332" s="38"/>
      <c r="AP332" s="38"/>
      <c r="AQ332" s="38"/>
      <c r="AR332" s="38"/>
      <c r="AS332" s="38"/>
      <c r="AT332" s="51"/>
      <c r="AU332" s="52"/>
      <c r="AV332" s="38"/>
      <c r="AW332" s="41" t="s">
        <v>56</v>
      </c>
      <c r="AX332" s="54" t="s">
        <v>123</v>
      </c>
      <c r="AY332" s="54">
        <v>20235920007213</v>
      </c>
    </row>
    <row r="333" spans="2:51" s="37" customFormat="1" ht="15" x14ac:dyDescent="0.25">
      <c r="B333" s="38">
        <v>332</v>
      </c>
      <c r="C333" s="39">
        <v>2023</v>
      </c>
      <c r="D333" s="40" t="s">
        <v>2579</v>
      </c>
      <c r="E333" s="41" t="s">
        <v>113</v>
      </c>
      <c r="F333" s="40" t="s">
        <v>97</v>
      </c>
      <c r="G333" s="40" t="s">
        <v>98</v>
      </c>
      <c r="H333" s="41" t="s">
        <v>2580</v>
      </c>
      <c r="I333" s="25" t="s">
        <v>2581</v>
      </c>
      <c r="J333" s="42" t="s">
        <v>989</v>
      </c>
      <c r="K333" s="42" t="s">
        <v>2582</v>
      </c>
      <c r="L333" s="26">
        <v>79340883</v>
      </c>
      <c r="M333" s="43">
        <v>1190</v>
      </c>
      <c r="N333" s="44">
        <v>45084</v>
      </c>
      <c r="O333" s="45">
        <v>105000000</v>
      </c>
      <c r="P333" s="46">
        <v>45104</v>
      </c>
      <c r="Q333" s="46" t="s">
        <v>2583</v>
      </c>
      <c r="R333" s="46">
        <v>45105</v>
      </c>
      <c r="S333" s="45" t="s">
        <v>2400</v>
      </c>
      <c r="T333" s="46">
        <v>45105</v>
      </c>
      <c r="U333" s="45">
        <v>15000000</v>
      </c>
      <c r="V333" s="43">
        <v>1205</v>
      </c>
      <c r="W333" s="44">
        <v>45105</v>
      </c>
      <c r="X333" s="47">
        <v>15000000</v>
      </c>
      <c r="Y333" s="46">
        <v>45287</v>
      </c>
      <c r="Z333" s="48" t="s">
        <v>120</v>
      </c>
      <c r="AA333" s="48"/>
      <c r="AB333" s="48"/>
      <c r="AC333" s="26"/>
      <c r="AD333" s="48"/>
      <c r="AE333" s="48"/>
      <c r="AF333" s="48"/>
      <c r="AG333" s="45"/>
      <c r="AH333" s="50">
        <f>U333+AG333</f>
        <v>15000000</v>
      </c>
      <c r="AI333" s="48"/>
      <c r="AJ333" s="48"/>
      <c r="AK333" s="48"/>
      <c r="AL333" s="42"/>
      <c r="AM333" s="48"/>
      <c r="AN333" s="48"/>
      <c r="AO333" s="38"/>
      <c r="AP333" s="38"/>
      <c r="AQ333" s="38"/>
      <c r="AR333" s="38"/>
      <c r="AS333" s="38"/>
      <c r="AT333" s="51"/>
      <c r="AU333" s="52"/>
      <c r="AV333" s="38"/>
      <c r="AW333" s="41" t="s">
        <v>56</v>
      </c>
      <c r="AX333" s="54" t="s">
        <v>123</v>
      </c>
      <c r="AY333" s="54">
        <v>20235920007213</v>
      </c>
    </row>
    <row r="334" spans="2:51" s="37" customFormat="1" ht="15" x14ac:dyDescent="0.25">
      <c r="B334" s="38">
        <v>333</v>
      </c>
      <c r="C334" s="39">
        <v>2023</v>
      </c>
      <c r="D334" s="40" t="s">
        <v>2584</v>
      </c>
      <c r="E334" s="41" t="s">
        <v>113</v>
      </c>
      <c r="F334" s="40" t="s">
        <v>97</v>
      </c>
      <c r="G334" s="40" t="s">
        <v>98</v>
      </c>
      <c r="H334" s="41" t="s">
        <v>2585</v>
      </c>
      <c r="I334" s="25" t="s">
        <v>2586</v>
      </c>
      <c r="J334" s="42" t="s">
        <v>989</v>
      </c>
      <c r="K334" s="42" t="s">
        <v>589</v>
      </c>
      <c r="L334" s="26">
        <v>80418976</v>
      </c>
      <c r="M334" s="43">
        <v>1190</v>
      </c>
      <c r="N334" s="44">
        <v>45084</v>
      </c>
      <c r="O334" s="45">
        <v>105000000</v>
      </c>
      <c r="P334" s="46">
        <v>45104</v>
      </c>
      <c r="Q334" s="46" t="s">
        <v>2587</v>
      </c>
      <c r="R334" s="46">
        <v>45105</v>
      </c>
      <c r="S334" s="45" t="s">
        <v>2400</v>
      </c>
      <c r="T334" s="46">
        <v>45105</v>
      </c>
      <c r="U334" s="45">
        <v>15000000</v>
      </c>
      <c r="V334" s="43">
        <v>1206</v>
      </c>
      <c r="W334" s="44">
        <v>45105</v>
      </c>
      <c r="X334" s="47">
        <v>15000000</v>
      </c>
      <c r="Y334" s="46">
        <v>45287</v>
      </c>
      <c r="Z334" s="48" t="s">
        <v>120</v>
      </c>
      <c r="AA334" s="48"/>
      <c r="AB334" s="48"/>
      <c r="AC334" s="26"/>
      <c r="AD334" s="48"/>
      <c r="AE334" s="48"/>
      <c r="AF334" s="48"/>
      <c r="AG334" s="45"/>
      <c r="AH334" s="50">
        <f>U334+AG334</f>
        <v>15000000</v>
      </c>
      <c r="AI334" s="48"/>
      <c r="AJ334" s="48"/>
      <c r="AK334" s="48"/>
      <c r="AL334" s="42"/>
      <c r="AM334" s="48"/>
      <c r="AN334" s="48"/>
      <c r="AO334" s="38"/>
      <c r="AP334" s="38"/>
      <c r="AQ334" s="38"/>
      <c r="AR334" s="38"/>
      <c r="AS334" s="38"/>
      <c r="AT334" s="51"/>
      <c r="AU334" s="52"/>
      <c r="AV334" s="38"/>
      <c r="AW334" s="41" t="s">
        <v>56</v>
      </c>
      <c r="AX334" s="54" t="s">
        <v>123</v>
      </c>
      <c r="AY334" s="54">
        <v>20235920007213</v>
      </c>
    </row>
    <row r="335" spans="2:51" s="37" customFormat="1" ht="15" x14ac:dyDescent="0.25">
      <c r="B335" s="38">
        <v>334</v>
      </c>
      <c r="C335" s="39">
        <v>2023</v>
      </c>
      <c r="D335" s="40" t="s">
        <v>2588</v>
      </c>
      <c r="E335" s="41" t="s">
        <v>113</v>
      </c>
      <c r="F335" s="40" t="s">
        <v>97</v>
      </c>
      <c r="G335" s="40" t="s">
        <v>98</v>
      </c>
      <c r="H335" s="41" t="s">
        <v>2589</v>
      </c>
      <c r="I335" s="25" t="s">
        <v>2590</v>
      </c>
      <c r="J335" s="42" t="s">
        <v>989</v>
      </c>
      <c r="K335" s="42" t="s">
        <v>594</v>
      </c>
      <c r="L335" s="26">
        <v>79389118</v>
      </c>
      <c r="M335" s="43">
        <v>1190</v>
      </c>
      <c r="N335" s="44">
        <v>45084</v>
      </c>
      <c r="O335" s="45">
        <v>105000000</v>
      </c>
      <c r="P335" s="46">
        <v>45104</v>
      </c>
      <c r="Q335" s="46" t="s">
        <v>2591</v>
      </c>
      <c r="R335" s="46">
        <v>45105</v>
      </c>
      <c r="S335" s="45" t="s">
        <v>2400</v>
      </c>
      <c r="T335" s="46">
        <v>45105</v>
      </c>
      <c r="U335" s="45">
        <v>15000000</v>
      </c>
      <c r="V335" s="43">
        <v>1209</v>
      </c>
      <c r="W335" s="44">
        <v>45105</v>
      </c>
      <c r="X335" s="47">
        <v>15000000</v>
      </c>
      <c r="Y335" s="46">
        <v>45287</v>
      </c>
      <c r="Z335" s="48" t="s">
        <v>120</v>
      </c>
      <c r="AA335" s="48"/>
      <c r="AB335" s="48"/>
      <c r="AC335" s="26"/>
      <c r="AD335" s="48"/>
      <c r="AE335" s="48"/>
      <c r="AF335" s="48"/>
      <c r="AG335" s="45"/>
      <c r="AH335" s="50">
        <f>U335+AG335</f>
        <v>15000000</v>
      </c>
      <c r="AI335" s="48"/>
      <c r="AJ335" s="48"/>
      <c r="AK335" s="48"/>
      <c r="AL335" s="42"/>
      <c r="AM335" s="48"/>
      <c r="AN335" s="48"/>
      <c r="AO335" s="38"/>
      <c r="AP335" s="38"/>
      <c r="AQ335" s="38"/>
      <c r="AR335" s="38"/>
      <c r="AS335" s="38"/>
      <c r="AT335" s="51"/>
      <c r="AU335" s="52"/>
      <c r="AV335" s="38"/>
      <c r="AW335" s="41" t="s">
        <v>56</v>
      </c>
      <c r="AX335" s="54" t="s">
        <v>123</v>
      </c>
      <c r="AY335" s="54">
        <v>20235920007213</v>
      </c>
    </row>
    <row r="336" spans="2:51" s="37" customFormat="1" ht="15" customHeight="1" x14ac:dyDescent="0.25">
      <c r="B336" s="38">
        <v>335</v>
      </c>
      <c r="C336" s="39">
        <v>2023</v>
      </c>
      <c r="D336" s="40" t="s">
        <v>2592</v>
      </c>
      <c r="E336" s="41" t="s">
        <v>324</v>
      </c>
      <c r="F336" s="40" t="s">
        <v>97</v>
      </c>
      <c r="G336" s="40" t="s">
        <v>98</v>
      </c>
      <c r="H336" s="41" t="s">
        <v>2593</v>
      </c>
      <c r="I336" s="25" t="s">
        <v>2594</v>
      </c>
      <c r="J336" s="42" t="s">
        <v>2595</v>
      </c>
      <c r="K336" s="42" t="s">
        <v>2596</v>
      </c>
      <c r="L336" s="26">
        <v>1017253353</v>
      </c>
      <c r="M336" s="43">
        <v>1179</v>
      </c>
      <c r="N336" s="44">
        <v>45082</v>
      </c>
      <c r="O336" s="45">
        <v>36000000</v>
      </c>
      <c r="P336" s="46">
        <v>45104</v>
      </c>
      <c r="Q336" s="43" t="s">
        <v>2597</v>
      </c>
      <c r="R336" s="46">
        <v>45105</v>
      </c>
      <c r="S336" s="45" t="s">
        <v>2400</v>
      </c>
      <c r="T336" s="46">
        <v>45105</v>
      </c>
      <c r="U336" s="45">
        <v>36000000</v>
      </c>
      <c r="V336" s="43">
        <v>1185</v>
      </c>
      <c r="W336" s="44">
        <v>45104</v>
      </c>
      <c r="X336" s="47">
        <v>36000000</v>
      </c>
      <c r="Y336" s="46">
        <v>45287</v>
      </c>
      <c r="Z336" s="48" t="s">
        <v>120</v>
      </c>
      <c r="AA336" s="48"/>
      <c r="AB336" s="48"/>
      <c r="AC336" s="26"/>
      <c r="AD336" s="48"/>
      <c r="AE336" s="48"/>
      <c r="AF336" s="48"/>
      <c r="AG336" s="45"/>
      <c r="AH336" s="50">
        <f>U336+AG336</f>
        <v>36000000</v>
      </c>
      <c r="AI336" s="48"/>
      <c r="AJ336" s="48"/>
      <c r="AK336" s="48"/>
      <c r="AL336" s="42"/>
      <c r="AM336" s="48"/>
      <c r="AN336" s="48"/>
      <c r="AO336" s="38"/>
      <c r="AP336" s="38"/>
      <c r="AQ336" s="38"/>
      <c r="AR336" s="38"/>
      <c r="AS336" s="38"/>
      <c r="AT336" s="51"/>
      <c r="AU336" s="52"/>
      <c r="AV336" s="38"/>
      <c r="AW336" s="41" t="s">
        <v>56</v>
      </c>
      <c r="AX336" s="54" t="s">
        <v>345</v>
      </c>
      <c r="AY336" s="54">
        <v>20235920007113</v>
      </c>
    </row>
    <row r="337" spans="2:51" s="37" customFormat="1" ht="15" x14ac:dyDescent="0.25">
      <c r="B337" s="38">
        <v>336</v>
      </c>
      <c r="C337" s="39">
        <v>2023</v>
      </c>
      <c r="D337" s="40" t="s">
        <v>2598</v>
      </c>
      <c r="E337" s="41" t="s">
        <v>2010</v>
      </c>
      <c r="F337" s="40" t="s">
        <v>97</v>
      </c>
      <c r="G337" s="40" t="s">
        <v>98</v>
      </c>
      <c r="H337" s="41" t="s">
        <v>2599</v>
      </c>
      <c r="I337" s="25" t="s">
        <v>2600</v>
      </c>
      <c r="J337" s="42" t="s">
        <v>2397</v>
      </c>
      <c r="K337" s="42" t="s">
        <v>2601</v>
      </c>
      <c r="L337" s="26">
        <v>1000521034</v>
      </c>
      <c r="M337" s="43">
        <v>1193</v>
      </c>
      <c r="N337" s="44">
        <v>45090</v>
      </c>
      <c r="O337" s="45">
        <v>129600000</v>
      </c>
      <c r="P337" s="46">
        <v>45103</v>
      </c>
      <c r="Q337" s="43" t="s">
        <v>2602</v>
      </c>
      <c r="R337" s="46">
        <v>45105</v>
      </c>
      <c r="S337" s="45" t="s">
        <v>2400</v>
      </c>
      <c r="T337" s="46">
        <v>45107</v>
      </c>
      <c r="U337" s="45">
        <v>16200000</v>
      </c>
      <c r="V337" s="43">
        <v>1214</v>
      </c>
      <c r="W337" s="44">
        <v>45105</v>
      </c>
      <c r="X337" s="47">
        <v>16200000</v>
      </c>
      <c r="Y337" s="46">
        <v>45289</v>
      </c>
      <c r="Z337" s="48" t="s">
        <v>120</v>
      </c>
      <c r="AA337" s="48"/>
      <c r="AB337" s="48"/>
      <c r="AC337" s="26"/>
      <c r="AD337" s="48"/>
      <c r="AE337" s="48"/>
      <c r="AF337" s="48"/>
      <c r="AG337" s="45"/>
      <c r="AH337" s="50">
        <f>U337+AG337</f>
        <v>16200000</v>
      </c>
      <c r="AI337" s="48"/>
      <c r="AJ337" s="48"/>
      <c r="AK337" s="48"/>
      <c r="AL337" s="42"/>
      <c r="AM337" s="48"/>
      <c r="AN337" s="48"/>
      <c r="AO337" s="38"/>
      <c r="AP337" s="38"/>
      <c r="AQ337" s="38"/>
      <c r="AR337" s="38"/>
      <c r="AS337" s="38"/>
      <c r="AT337" s="51"/>
      <c r="AU337" s="52"/>
      <c r="AV337" s="38"/>
      <c r="AW337" s="41" t="s">
        <v>56</v>
      </c>
      <c r="AX337" s="54" t="s">
        <v>145</v>
      </c>
      <c r="AY337" s="54">
        <v>20235920007053</v>
      </c>
    </row>
    <row r="338" spans="2:51" s="37" customFormat="1" ht="15" customHeight="1" x14ac:dyDescent="0.25">
      <c r="B338" s="38">
        <v>337</v>
      </c>
      <c r="C338" s="39">
        <v>2023</v>
      </c>
      <c r="D338" s="40" t="s">
        <v>2603</v>
      </c>
      <c r="E338" s="41" t="s">
        <v>2010</v>
      </c>
      <c r="F338" s="40" t="s">
        <v>97</v>
      </c>
      <c r="G338" s="40" t="s">
        <v>98</v>
      </c>
      <c r="H338" s="41" t="s">
        <v>2604</v>
      </c>
      <c r="I338" s="25" t="s">
        <v>2605</v>
      </c>
      <c r="J338" s="42" t="s">
        <v>2397</v>
      </c>
      <c r="K338" s="42" t="s">
        <v>2606</v>
      </c>
      <c r="L338" s="26">
        <v>1013684632</v>
      </c>
      <c r="M338" s="43">
        <v>1193</v>
      </c>
      <c r="N338" s="44">
        <v>45090</v>
      </c>
      <c r="O338" s="45">
        <v>129600000</v>
      </c>
      <c r="P338" s="46">
        <v>45103</v>
      </c>
      <c r="Q338" s="43" t="s">
        <v>2607</v>
      </c>
      <c r="R338" s="46">
        <v>45111</v>
      </c>
      <c r="S338" s="45" t="s">
        <v>2400</v>
      </c>
      <c r="T338" s="46">
        <v>45111</v>
      </c>
      <c r="U338" s="45">
        <v>16200000</v>
      </c>
      <c r="V338" s="43">
        <v>1207</v>
      </c>
      <c r="W338" s="44">
        <v>45105</v>
      </c>
      <c r="X338" s="47">
        <v>16200000</v>
      </c>
      <c r="Y338" s="46">
        <v>45294</v>
      </c>
      <c r="Z338" s="48" t="s">
        <v>120</v>
      </c>
      <c r="AA338" s="48"/>
      <c r="AB338" s="48"/>
      <c r="AC338" s="26"/>
      <c r="AD338" s="48"/>
      <c r="AE338" s="48"/>
      <c r="AF338" s="48"/>
      <c r="AG338" s="45"/>
      <c r="AH338" s="50">
        <f>U338+AG338</f>
        <v>16200000</v>
      </c>
      <c r="AI338" s="48"/>
      <c r="AJ338" s="48"/>
      <c r="AK338" s="48"/>
      <c r="AL338" s="42"/>
      <c r="AM338" s="48"/>
      <c r="AN338" s="48"/>
      <c r="AO338" s="38"/>
      <c r="AP338" s="38"/>
      <c r="AQ338" s="38"/>
      <c r="AR338" s="38"/>
      <c r="AS338" s="38"/>
      <c r="AT338" s="51"/>
      <c r="AU338" s="52"/>
      <c r="AV338" s="38"/>
      <c r="AW338" s="41" t="s">
        <v>56</v>
      </c>
      <c r="AX338" s="54" t="s">
        <v>145</v>
      </c>
      <c r="AY338" s="54">
        <v>20235920007053</v>
      </c>
    </row>
    <row r="339" spans="2:51" s="37" customFormat="1" ht="15" x14ac:dyDescent="0.25">
      <c r="B339" s="38">
        <v>338</v>
      </c>
      <c r="C339" s="39">
        <v>2023</v>
      </c>
      <c r="D339" s="40" t="s">
        <v>2608</v>
      </c>
      <c r="E339" s="41" t="s">
        <v>2010</v>
      </c>
      <c r="F339" s="40" t="s">
        <v>97</v>
      </c>
      <c r="G339" s="40" t="s">
        <v>98</v>
      </c>
      <c r="H339" s="41" t="s">
        <v>2609</v>
      </c>
      <c r="I339" s="25" t="s">
        <v>2610</v>
      </c>
      <c r="J339" s="42" t="s">
        <v>2397</v>
      </c>
      <c r="K339" s="42" t="s">
        <v>2611</v>
      </c>
      <c r="L339" s="26">
        <v>1233695393</v>
      </c>
      <c r="M339" s="43">
        <v>1193</v>
      </c>
      <c r="N339" s="44">
        <v>45090</v>
      </c>
      <c r="O339" s="45">
        <v>129600000</v>
      </c>
      <c r="P339" s="46">
        <v>45104</v>
      </c>
      <c r="Q339" s="43" t="s">
        <v>2612</v>
      </c>
      <c r="R339" s="46">
        <v>45105</v>
      </c>
      <c r="S339" s="45" t="s">
        <v>2400</v>
      </c>
      <c r="T339" s="46">
        <v>45107</v>
      </c>
      <c r="U339" s="45">
        <v>16200000</v>
      </c>
      <c r="V339" s="43">
        <v>1197</v>
      </c>
      <c r="W339" s="44">
        <v>45105</v>
      </c>
      <c r="X339" s="47">
        <v>16200000</v>
      </c>
      <c r="Y339" s="46">
        <v>45289</v>
      </c>
      <c r="Z339" s="48" t="s">
        <v>120</v>
      </c>
      <c r="AA339" s="48"/>
      <c r="AB339" s="48"/>
      <c r="AC339" s="26"/>
      <c r="AD339" s="48"/>
      <c r="AE339" s="48"/>
      <c r="AF339" s="48"/>
      <c r="AG339" s="45"/>
      <c r="AH339" s="50">
        <f>U339+AG339</f>
        <v>16200000</v>
      </c>
      <c r="AI339" s="48"/>
      <c r="AJ339" s="48"/>
      <c r="AK339" s="48"/>
      <c r="AL339" s="42"/>
      <c r="AM339" s="48"/>
      <c r="AN339" s="48"/>
      <c r="AO339" s="38"/>
      <c r="AP339" s="38"/>
      <c r="AQ339" s="38"/>
      <c r="AR339" s="38"/>
      <c r="AS339" s="38"/>
      <c r="AT339" s="51"/>
      <c r="AU339" s="52"/>
      <c r="AV339" s="38"/>
      <c r="AW339" s="41" t="s">
        <v>56</v>
      </c>
      <c r="AX339" s="54" t="s">
        <v>145</v>
      </c>
      <c r="AY339" s="54">
        <v>20235920007053</v>
      </c>
    </row>
    <row r="340" spans="2:51" s="37" customFormat="1" ht="27.75" customHeight="1" x14ac:dyDescent="0.25">
      <c r="B340" s="38">
        <v>339</v>
      </c>
      <c r="C340" s="39">
        <v>2023</v>
      </c>
      <c r="D340" s="40" t="s">
        <v>2613</v>
      </c>
      <c r="E340" s="41" t="s">
        <v>199</v>
      </c>
      <c r="F340" s="40" t="s">
        <v>97</v>
      </c>
      <c r="G340" s="40" t="s">
        <v>98</v>
      </c>
      <c r="H340" s="41" t="s">
        <v>2614</v>
      </c>
      <c r="I340" s="25" t="s">
        <v>2615</v>
      </c>
      <c r="J340" s="42" t="s">
        <v>2616</v>
      </c>
      <c r="K340" s="42" t="s">
        <v>2617</v>
      </c>
      <c r="L340" s="26">
        <v>1013653433</v>
      </c>
      <c r="M340" s="43">
        <v>1207</v>
      </c>
      <c r="N340" s="44">
        <v>45104</v>
      </c>
      <c r="O340" s="45">
        <v>48468000</v>
      </c>
      <c r="P340" s="44">
        <v>45105</v>
      </c>
      <c r="Q340" s="43" t="s">
        <v>2618</v>
      </c>
      <c r="R340" s="46">
        <v>45106</v>
      </c>
      <c r="S340" s="45" t="s">
        <v>2400</v>
      </c>
      <c r="T340" s="46">
        <v>45106</v>
      </c>
      <c r="U340" s="45">
        <v>48468000</v>
      </c>
      <c r="V340" s="43">
        <v>1210</v>
      </c>
      <c r="W340" s="44">
        <v>45105</v>
      </c>
      <c r="X340" s="47">
        <v>48468000</v>
      </c>
      <c r="Y340" s="46">
        <v>45288</v>
      </c>
      <c r="Z340" s="48" t="s">
        <v>120</v>
      </c>
      <c r="AA340" s="48"/>
      <c r="AB340" s="48"/>
      <c r="AC340" s="26"/>
      <c r="AD340" s="48"/>
      <c r="AE340" s="48"/>
      <c r="AF340" s="48"/>
      <c r="AG340" s="45"/>
      <c r="AH340" s="50">
        <f>U340+AG340</f>
        <v>48468000</v>
      </c>
      <c r="AI340" s="48"/>
      <c r="AJ340" s="48"/>
      <c r="AK340" s="48"/>
      <c r="AL340" s="42"/>
      <c r="AM340" s="48"/>
      <c r="AN340" s="48"/>
      <c r="AO340" s="38"/>
      <c r="AP340" s="38"/>
      <c r="AQ340" s="38"/>
      <c r="AR340" s="38"/>
      <c r="AS340" s="38"/>
      <c r="AT340" s="51"/>
      <c r="AU340" s="52"/>
      <c r="AV340" s="38"/>
      <c r="AW340" s="41" t="s">
        <v>56</v>
      </c>
      <c r="AX340" s="54" t="s">
        <v>195</v>
      </c>
      <c r="AY340" s="54" t="s">
        <v>121</v>
      </c>
    </row>
    <row r="341" spans="2:51" s="37" customFormat="1" ht="15" x14ac:dyDescent="0.25">
      <c r="B341" s="38">
        <v>340</v>
      </c>
      <c r="C341" s="39">
        <v>2023</v>
      </c>
      <c r="D341" s="40" t="s">
        <v>2619</v>
      </c>
      <c r="E341" s="41" t="s">
        <v>2010</v>
      </c>
      <c r="F341" s="40" t="s">
        <v>97</v>
      </c>
      <c r="G341" s="40" t="s">
        <v>98</v>
      </c>
      <c r="H341" s="41" t="s">
        <v>2620</v>
      </c>
      <c r="I341" s="25" t="s">
        <v>2621</v>
      </c>
      <c r="J341" s="42" t="s">
        <v>2622</v>
      </c>
      <c r="K341" s="42" t="s">
        <v>2623</v>
      </c>
      <c r="L341" s="26">
        <v>1032484804</v>
      </c>
      <c r="M341" s="43">
        <v>1180</v>
      </c>
      <c r="N341" s="44">
        <v>45082</v>
      </c>
      <c r="O341" s="45">
        <v>145800000</v>
      </c>
      <c r="P341" s="44">
        <v>45105</v>
      </c>
      <c r="Q341" s="43" t="s">
        <v>2624</v>
      </c>
      <c r="R341" s="46">
        <v>45113</v>
      </c>
      <c r="S341" s="45" t="s">
        <v>2400</v>
      </c>
      <c r="T341" s="46">
        <v>45113</v>
      </c>
      <c r="U341" s="45">
        <v>16200000</v>
      </c>
      <c r="V341" s="43">
        <v>1217</v>
      </c>
      <c r="W341" s="44">
        <v>45105</v>
      </c>
      <c r="X341" s="47">
        <v>16200000</v>
      </c>
      <c r="Y341" s="46">
        <v>45296</v>
      </c>
      <c r="Z341" s="48" t="s">
        <v>120</v>
      </c>
      <c r="AA341" s="48"/>
      <c r="AB341" s="48"/>
      <c r="AC341" s="26"/>
      <c r="AD341" s="48"/>
      <c r="AE341" s="48"/>
      <c r="AF341" s="48"/>
      <c r="AG341" s="45"/>
      <c r="AH341" s="50">
        <f>U341+AG341</f>
        <v>16200000</v>
      </c>
      <c r="AI341" s="48"/>
      <c r="AJ341" s="48"/>
      <c r="AK341" s="48"/>
      <c r="AL341" s="42"/>
      <c r="AM341" s="48"/>
      <c r="AN341" s="48"/>
      <c r="AO341" s="38"/>
      <c r="AP341" s="38"/>
      <c r="AQ341" s="38"/>
      <c r="AR341" s="38"/>
      <c r="AS341" s="38"/>
      <c r="AT341" s="51"/>
      <c r="AU341" s="52"/>
      <c r="AV341" s="38"/>
      <c r="AW341" s="41" t="s">
        <v>56</v>
      </c>
      <c r="AX341" s="54" t="s">
        <v>271</v>
      </c>
      <c r="AY341" s="54">
        <v>20235920007103</v>
      </c>
    </row>
    <row r="342" spans="2:51" s="37" customFormat="1" ht="39" customHeight="1" x14ac:dyDescent="0.25">
      <c r="B342" s="38">
        <v>341</v>
      </c>
      <c r="C342" s="39">
        <v>2023</v>
      </c>
      <c r="D342" s="41" t="s">
        <v>2625</v>
      </c>
      <c r="E342" s="41" t="s">
        <v>96</v>
      </c>
      <c r="F342" s="40" t="s">
        <v>97</v>
      </c>
      <c r="G342" s="40" t="s">
        <v>2020</v>
      </c>
      <c r="H342" s="41" t="s">
        <v>2626</v>
      </c>
      <c r="I342" s="25" t="s">
        <v>2627</v>
      </c>
      <c r="J342" s="42" t="s">
        <v>2628</v>
      </c>
      <c r="K342" s="42" t="s">
        <v>2629</v>
      </c>
      <c r="L342" s="26">
        <v>830012587</v>
      </c>
      <c r="M342" s="43">
        <v>1204</v>
      </c>
      <c r="N342" s="44">
        <v>45098</v>
      </c>
      <c r="O342" s="45">
        <v>200000000</v>
      </c>
      <c r="P342" s="44">
        <v>45040</v>
      </c>
      <c r="Q342" s="43" t="s">
        <v>121</v>
      </c>
      <c r="R342" s="46" t="s">
        <v>121</v>
      </c>
      <c r="S342" s="45" t="s">
        <v>2386</v>
      </c>
      <c r="T342" s="46">
        <v>45117</v>
      </c>
      <c r="U342" s="45">
        <v>3360000000</v>
      </c>
      <c r="V342" s="43">
        <v>1186</v>
      </c>
      <c r="W342" s="44">
        <v>45104</v>
      </c>
      <c r="X342" s="47">
        <v>200000000</v>
      </c>
      <c r="Y342" s="46">
        <v>45361</v>
      </c>
      <c r="Z342" s="48" t="s">
        <v>120</v>
      </c>
      <c r="AA342" s="48"/>
      <c r="AB342" s="48"/>
      <c r="AC342" s="26"/>
      <c r="AD342" s="48"/>
      <c r="AE342" s="48"/>
      <c r="AF342" s="48"/>
      <c r="AG342" s="45"/>
      <c r="AH342" s="50">
        <f>U342+AG342</f>
        <v>3360000000</v>
      </c>
      <c r="AI342" s="48"/>
      <c r="AJ342" s="48"/>
      <c r="AK342" s="48"/>
      <c r="AL342" s="42"/>
      <c r="AM342" s="48"/>
      <c r="AN342" s="48"/>
      <c r="AO342" s="38"/>
      <c r="AP342" s="38"/>
      <c r="AQ342" s="38"/>
      <c r="AR342" s="38"/>
      <c r="AS342" s="38"/>
      <c r="AT342" s="51"/>
      <c r="AU342" s="52"/>
      <c r="AV342" s="38"/>
      <c r="AW342" s="41" t="s">
        <v>2026</v>
      </c>
      <c r="AX342" s="40" t="s">
        <v>271</v>
      </c>
      <c r="AY342" s="54">
        <v>20235920007603</v>
      </c>
    </row>
    <row r="343" spans="2:51" s="37" customFormat="1" ht="15" customHeight="1" x14ac:dyDescent="0.25">
      <c r="B343" s="38">
        <v>342</v>
      </c>
      <c r="C343" s="39">
        <v>2023</v>
      </c>
      <c r="D343" s="40" t="s">
        <v>2630</v>
      </c>
      <c r="E343" s="41" t="s">
        <v>518</v>
      </c>
      <c r="F343" s="40" t="s">
        <v>97</v>
      </c>
      <c r="G343" s="40" t="s">
        <v>98</v>
      </c>
      <c r="H343" s="41" t="s">
        <v>2631</v>
      </c>
      <c r="I343" s="25" t="s">
        <v>2632</v>
      </c>
      <c r="J343" s="42" t="s">
        <v>2633</v>
      </c>
      <c r="K343" s="42" t="s">
        <v>2634</v>
      </c>
      <c r="L343" s="26">
        <v>52365373</v>
      </c>
      <c r="M343" s="43">
        <v>1197</v>
      </c>
      <c r="N343" s="44">
        <v>45093</v>
      </c>
      <c r="O343" s="45">
        <v>30000000</v>
      </c>
      <c r="P343" s="44">
        <v>45105</v>
      </c>
      <c r="Q343" s="43" t="s">
        <v>2635</v>
      </c>
      <c r="R343" s="46">
        <v>45112</v>
      </c>
      <c r="S343" s="45" t="s">
        <v>2400</v>
      </c>
      <c r="T343" s="46">
        <v>45112</v>
      </c>
      <c r="U343" s="45">
        <v>30000000</v>
      </c>
      <c r="V343" s="43">
        <v>1221</v>
      </c>
      <c r="W343" s="44">
        <v>45105</v>
      </c>
      <c r="X343" s="47">
        <v>30000000</v>
      </c>
      <c r="Y343" s="55">
        <v>45295</v>
      </c>
      <c r="Z343" s="48" t="s">
        <v>120</v>
      </c>
      <c r="AA343" s="48"/>
      <c r="AB343" s="48"/>
      <c r="AC343" s="26"/>
      <c r="AD343" s="48"/>
      <c r="AE343" s="48"/>
      <c r="AF343" s="48"/>
      <c r="AG343" s="45"/>
      <c r="AH343" s="50">
        <f>U343+AG343</f>
        <v>30000000</v>
      </c>
      <c r="AI343" s="48"/>
      <c r="AJ343" s="48"/>
      <c r="AK343" s="48"/>
      <c r="AL343" s="42"/>
      <c r="AM343" s="48"/>
      <c r="AN343" s="48"/>
      <c r="AO343" s="38"/>
      <c r="AP343" s="38"/>
      <c r="AQ343" s="38"/>
      <c r="AR343" s="38"/>
      <c r="AS343" s="38"/>
      <c r="AT343" s="51"/>
      <c r="AU343" s="52"/>
      <c r="AV343" s="38"/>
      <c r="AW343" s="41" t="s">
        <v>56</v>
      </c>
      <c r="AX343" s="54" t="s">
        <v>529</v>
      </c>
      <c r="AY343" s="54">
        <v>20235920007193</v>
      </c>
    </row>
    <row r="344" spans="2:51" s="37" customFormat="1" ht="15" customHeight="1" x14ac:dyDescent="0.25">
      <c r="B344" s="38">
        <v>343</v>
      </c>
      <c r="C344" s="39">
        <v>2023</v>
      </c>
      <c r="D344" s="40" t="s">
        <v>4</v>
      </c>
      <c r="E344" s="41" t="s">
        <v>113</v>
      </c>
      <c r="F344" s="40" t="s">
        <v>97</v>
      </c>
      <c r="G344" s="40" t="s">
        <v>2636</v>
      </c>
      <c r="H344" s="41" t="s">
        <v>2637</v>
      </c>
      <c r="I344" s="25" t="s">
        <v>2638</v>
      </c>
      <c r="J344" s="42" t="s">
        <v>2639</v>
      </c>
      <c r="K344" s="42" t="s">
        <v>5</v>
      </c>
      <c r="L344" s="26">
        <v>800106685</v>
      </c>
      <c r="M344" s="43" t="s">
        <v>121</v>
      </c>
      <c r="N344" s="44" t="s">
        <v>121</v>
      </c>
      <c r="O344" s="45">
        <v>0</v>
      </c>
      <c r="P344" s="44">
        <v>45105</v>
      </c>
      <c r="Q344" s="43" t="s">
        <v>2640</v>
      </c>
      <c r="R344" s="46">
        <v>45132</v>
      </c>
      <c r="S344" s="45" t="s">
        <v>2641</v>
      </c>
      <c r="T344" s="46">
        <v>45132</v>
      </c>
      <c r="U344" s="45">
        <v>0</v>
      </c>
      <c r="V344" s="43" t="s">
        <v>121</v>
      </c>
      <c r="W344" s="44" t="s">
        <v>121</v>
      </c>
      <c r="X344" s="45">
        <v>0</v>
      </c>
      <c r="Y344" s="46">
        <v>46958</v>
      </c>
      <c r="Z344" s="48" t="s">
        <v>120</v>
      </c>
      <c r="AA344" s="48"/>
      <c r="AB344" s="48"/>
      <c r="AC344" s="26"/>
      <c r="AD344" s="48"/>
      <c r="AE344" s="48"/>
      <c r="AF344" s="48"/>
      <c r="AG344" s="45"/>
      <c r="AH344" s="50">
        <f>U344+AG344</f>
        <v>0</v>
      </c>
      <c r="AI344" s="48"/>
      <c r="AJ344" s="48"/>
      <c r="AK344" s="48"/>
      <c r="AL344" s="42"/>
      <c r="AM344" s="48"/>
      <c r="AN344" s="48"/>
      <c r="AO344" s="38"/>
      <c r="AP344" s="38"/>
      <c r="AQ344" s="38"/>
      <c r="AR344" s="38"/>
      <c r="AS344" s="38"/>
      <c r="AT344" s="51"/>
      <c r="AU344" s="52"/>
      <c r="AV344" s="38"/>
      <c r="AW344" s="41" t="s">
        <v>56</v>
      </c>
      <c r="AX344" s="54" t="s">
        <v>57</v>
      </c>
      <c r="AY344" s="54">
        <v>20235920007933</v>
      </c>
    </row>
    <row r="345" spans="2:51" s="37" customFormat="1" ht="15" customHeight="1" x14ac:dyDescent="0.25">
      <c r="B345" s="38">
        <v>344</v>
      </c>
      <c r="C345" s="39">
        <v>2023</v>
      </c>
      <c r="D345" s="40" t="s">
        <v>6</v>
      </c>
      <c r="E345" s="41" t="s">
        <v>113</v>
      </c>
      <c r="F345" s="40" t="s">
        <v>97</v>
      </c>
      <c r="G345" s="40" t="s">
        <v>2636</v>
      </c>
      <c r="H345" s="41" t="s">
        <v>2642</v>
      </c>
      <c r="I345" s="25" t="s">
        <v>2643</v>
      </c>
      <c r="J345" s="42" t="s">
        <v>2639</v>
      </c>
      <c r="K345" s="42" t="s">
        <v>7</v>
      </c>
      <c r="L345" s="26">
        <v>830061975</v>
      </c>
      <c r="M345" s="43" t="s">
        <v>121</v>
      </c>
      <c r="N345" s="44" t="s">
        <v>121</v>
      </c>
      <c r="O345" s="45">
        <v>0</v>
      </c>
      <c r="P345" s="44">
        <v>45105</v>
      </c>
      <c r="Q345" s="43" t="s">
        <v>708</v>
      </c>
      <c r="R345" s="46" t="s">
        <v>708</v>
      </c>
      <c r="S345" s="45" t="s">
        <v>2641</v>
      </c>
      <c r="T345" s="46" t="s">
        <v>708</v>
      </c>
      <c r="U345" s="45">
        <v>0</v>
      </c>
      <c r="V345" s="43" t="s">
        <v>121</v>
      </c>
      <c r="W345" s="44" t="s">
        <v>121</v>
      </c>
      <c r="X345" s="45">
        <v>0</v>
      </c>
      <c r="Y345" s="46" t="s">
        <v>708</v>
      </c>
      <c r="Z345" s="48" t="s">
        <v>120</v>
      </c>
      <c r="AA345" s="48"/>
      <c r="AB345" s="48"/>
      <c r="AC345" s="26"/>
      <c r="AD345" s="48"/>
      <c r="AE345" s="48"/>
      <c r="AF345" s="48"/>
      <c r="AG345" s="45"/>
      <c r="AH345" s="50">
        <f>U345+AG345</f>
        <v>0</v>
      </c>
      <c r="AI345" s="48"/>
      <c r="AJ345" s="48"/>
      <c r="AK345" s="48"/>
      <c r="AL345" s="42"/>
      <c r="AM345" s="48"/>
      <c r="AN345" s="48"/>
      <c r="AO345" s="38"/>
      <c r="AP345" s="38"/>
      <c r="AQ345" s="38"/>
      <c r="AR345" s="38"/>
      <c r="AS345" s="38"/>
      <c r="AT345" s="51"/>
      <c r="AU345" s="52"/>
      <c r="AV345" s="38"/>
      <c r="AW345" s="41" t="s">
        <v>2644</v>
      </c>
      <c r="AX345" s="54" t="s">
        <v>57</v>
      </c>
      <c r="AY345" s="54" t="s">
        <v>2645</v>
      </c>
    </row>
    <row r="346" spans="2:51" s="37" customFormat="1" ht="15" customHeight="1" x14ac:dyDescent="0.25">
      <c r="B346" s="38">
        <v>345</v>
      </c>
      <c r="C346" s="39">
        <v>2023</v>
      </c>
      <c r="D346" s="40" t="s">
        <v>8</v>
      </c>
      <c r="E346" s="41" t="s">
        <v>96</v>
      </c>
      <c r="F346" s="40" t="s">
        <v>97</v>
      </c>
      <c r="G346" s="40" t="s">
        <v>2636</v>
      </c>
      <c r="H346" s="41" t="s">
        <v>2646</v>
      </c>
      <c r="I346" s="25" t="s">
        <v>2647</v>
      </c>
      <c r="J346" s="42" t="s">
        <v>2648</v>
      </c>
      <c r="K346" s="42" t="s">
        <v>9</v>
      </c>
      <c r="L346" s="26">
        <v>900004972</v>
      </c>
      <c r="M346" s="43" t="s">
        <v>121</v>
      </c>
      <c r="N346" s="44" t="s">
        <v>121</v>
      </c>
      <c r="O346" s="45">
        <v>0</v>
      </c>
      <c r="P346" s="44">
        <v>45105</v>
      </c>
      <c r="Q346" s="43" t="s">
        <v>708</v>
      </c>
      <c r="R346" s="46" t="s">
        <v>708</v>
      </c>
      <c r="S346" s="45" t="s">
        <v>2641</v>
      </c>
      <c r="T346" s="46" t="s">
        <v>708</v>
      </c>
      <c r="U346" s="45">
        <v>0</v>
      </c>
      <c r="V346" s="43" t="s">
        <v>121</v>
      </c>
      <c r="W346" s="44" t="s">
        <v>121</v>
      </c>
      <c r="X346" s="45">
        <v>0</v>
      </c>
      <c r="Y346" s="46" t="s">
        <v>708</v>
      </c>
      <c r="Z346" s="48" t="s">
        <v>120</v>
      </c>
      <c r="AA346" s="48"/>
      <c r="AB346" s="48"/>
      <c r="AC346" s="26"/>
      <c r="AD346" s="48"/>
      <c r="AE346" s="48"/>
      <c r="AF346" s="48"/>
      <c r="AG346" s="45"/>
      <c r="AH346" s="50">
        <f>U346+AG346</f>
        <v>0</v>
      </c>
      <c r="AI346" s="48"/>
      <c r="AJ346" s="48"/>
      <c r="AK346" s="48"/>
      <c r="AL346" s="42"/>
      <c r="AM346" s="48"/>
      <c r="AN346" s="48"/>
      <c r="AO346" s="38"/>
      <c r="AP346" s="38"/>
      <c r="AQ346" s="38"/>
      <c r="AR346" s="38"/>
      <c r="AS346" s="38"/>
      <c r="AT346" s="51"/>
      <c r="AU346" s="52"/>
      <c r="AV346" s="38"/>
      <c r="AW346" s="41" t="s">
        <v>2644</v>
      </c>
      <c r="AX346" s="54" t="s">
        <v>57</v>
      </c>
      <c r="AY346" s="54" t="s">
        <v>2645</v>
      </c>
    </row>
    <row r="347" spans="2:51" s="37" customFormat="1" ht="15" customHeight="1" x14ac:dyDescent="0.25">
      <c r="B347" s="38">
        <v>346</v>
      </c>
      <c r="C347" s="39">
        <v>2023</v>
      </c>
      <c r="D347" s="40" t="s">
        <v>10</v>
      </c>
      <c r="E347" s="41" t="s">
        <v>324</v>
      </c>
      <c r="F347" s="40" t="s">
        <v>97</v>
      </c>
      <c r="G347" s="40" t="s">
        <v>2636</v>
      </c>
      <c r="H347" s="41" t="s">
        <v>2649</v>
      </c>
      <c r="I347" s="25" t="s">
        <v>2650</v>
      </c>
      <c r="J347" s="42" t="s">
        <v>2648</v>
      </c>
      <c r="K347" s="42" t="s">
        <v>11</v>
      </c>
      <c r="L347" s="26">
        <v>830090913</v>
      </c>
      <c r="M347" s="43" t="s">
        <v>121</v>
      </c>
      <c r="N347" s="44" t="s">
        <v>121</v>
      </c>
      <c r="O347" s="45">
        <v>0</v>
      </c>
      <c r="P347" s="44">
        <v>45105</v>
      </c>
      <c r="Q347" s="43" t="s">
        <v>708</v>
      </c>
      <c r="R347" s="46" t="s">
        <v>708</v>
      </c>
      <c r="S347" s="45" t="s">
        <v>2641</v>
      </c>
      <c r="T347" s="46" t="s">
        <v>708</v>
      </c>
      <c r="U347" s="45">
        <v>0</v>
      </c>
      <c r="V347" s="43" t="s">
        <v>121</v>
      </c>
      <c r="W347" s="44" t="s">
        <v>121</v>
      </c>
      <c r="X347" s="45">
        <v>0</v>
      </c>
      <c r="Y347" s="46" t="s">
        <v>708</v>
      </c>
      <c r="Z347" s="48" t="s">
        <v>120</v>
      </c>
      <c r="AA347" s="48"/>
      <c r="AB347" s="48"/>
      <c r="AC347" s="26"/>
      <c r="AD347" s="48"/>
      <c r="AE347" s="48"/>
      <c r="AF347" s="48"/>
      <c r="AG347" s="45"/>
      <c r="AH347" s="50">
        <f>U347+AG347</f>
        <v>0</v>
      </c>
      <c r="AI347" s="48"/>
      <c r="AJ347" s="48"/>
      <c r="AK347" s="48"/>
      <c r="AL347" s="42"/>
      <c r="AM347" s="48"/>
      <c r="AN347" s="48"/>
      <c r="AO347" s="38"/>
      <c r="AP347" s="38"/>
      <c r="AQ347" s="38"/>
      <c r="AR347" s="38"/>
      <c r="AS347" s="38"/>
      <c r="AT347" s="51"/>
      <c r="AU347" s="52"/>
      <c r="AV347" s="38"/>
      <c r="AW347" s="41" t="s">
        <v>2644</v>
      </c>
      <c r="AX347" s="54" t="s">
        <v>57</v>
      </c>
      <c r="AY347" s="54" t="s">
        <v>2645</v>
      </c>
    </row>
    <row r="348" spans="2:51" s="37" customFormat="1" ht="15" customHeight="1" x14ac:dyDescent="0.25">
      <c r="B348" s="38">
        <v>347</v>
      </c>
      <c r="C348" s="39">
        <v>2023</v>
      </c>
      <c r="D348" s="40" t="s">
        <v>12</v>
      </c>
      <c r="E348" s="41" t="s">
        <v>199</v>
      </c>
      <c r="F348" s="40" t="s">
        <v>97</v>
      </c>
      <c r="G348" s="40" t="s">
        <v>2636</v>
      </c>
      <c r="H348" s="41" t="s">
        <v>2651</v>
      </c>
      <c r="I348" s="25" t="s">
        <v>2652</v>
      </c>
      <c r="J348" s="42" t="s">
        <v>2653</v>
      </c>
      <c r="K348" s="42" t="s">
        <v>13</v>
      </c>
      <c r="L348" s="26">
        <v>900443160</v>
      </c>
      <c r="M348" s="43" t="s">
        <v>121</v>
      </c>
      <c r="N348" s="44" t="s">
        <v>121</v>
      </c>
      <c r="O348" s="45">
        <v>0</v>
      </c>
      <c r="P348" s="44">
        <v>45105</v>
      </c>
      <c r="Q348" s="43" t="s">
        <v>2654</v>
      </c>
      <c r="R348" s="46">
        <v>45219</v>
      </c>
      <c r="S348" s="45" t="s">
        <v>2641</v>
      </c>
      <c r="T348" s="46">
        <v>45219</v>
      </c>
      <c r="U348" s="45">
        <v>0</v>
      </c>
      <c r="V348" s="43" t="s">
        <v>121</v>
      </c>
      <c r="W348" s="44" t="s">
        <v>121</v>
      </c>
      <c r="X348" s="45">
        <v>0</v>
      </c>
      <c r="Y348" s="46">
        <v>47045</v>
      </c>
      <c r="Z348" s="48" t="s">
        <v>120</v>
      </c>
      <c r="AA348" s="48"/>
      <c r="AB348" s="48"/>
      <c r="AC348" s="26"/>
      <c r="AD348" s="48"/>
      <c r="AE348" s="48"/>
      <c r="AF348" s="48"/>
      <c r="AG348" s="45"/>
      <c r="AH348" s="50">
        <f>U348+AG348</f>
        <v>0</v>
      </c>
      <c r="AI348" s="48"/>
      <c r="AJ348" s="48"/>
      <c r="AK348" s="48"/>
      <c r="AL348" s="42"/>
      <c r="AM348" s="48"/>
      <c r="AN348" s="48"/>
      <c r="AO348" s="38"/>
      <c r="AP348" s="38"/>
      <c r="AQ348" s="38"/>
      <c r="AR348" s="38"/>
      <c r="AS348" s="38"/>
      <c r="AT348" s="51"/>
      <c r="AU348" s="52"/>
      <c r="AV348" s="38"/>
      <c r="AW348" s="41" t="s">
        <v>56</v>
      </c>
      <c r="AX348" s="54" t="s">
        <v>57</v>
      </c>
      <c r="AY348" s="63">
        <v>20235920010333</v>
      </c>
    </row>
    <row r="349" spans="2:51" s="37" customFormat="1" ht="15" customHeight="1" x14ac:dyDescent="0.25">
      <c r="B349" s="38">
        <v>348</v>
      </c>
      <c r="C349" s="39">
        <v>2023</v>
      </c>
      <c r="D349" s="40" t="s">
        <v>14</v>
      </c>
      <c r="E349" s="41" t="s">
        <v>199</v>
      </c>
      <c r="F349" s="40" t="s">
        <v>97</v>
      </c>
      <c r="G349" s="40" t="s">
        <v>2636</v>
      </c>
      <c r="H349" s="41" t="s">
        <v>2655</v>
      </c>
      <c r="I349" s="25" t="s">
        <v>2656</v>
      </c>
      <c r="J349" s="42" t="s">
        <v>2648</v>
      </c>
      <c r="K349" s="42" t="s">
        <v>15</v>
      </c>
      <c r="L349" s="26">
        <v>900621367</v>
      </c>
      <c r="M349" s="43" t="s">
        <v>121</v>
      </c>
      <c r="N349" s="44" t="s">
        <v>121</v>
      </c>
      <c r="O349" s="45">
        <v>0</v>
      </c>
      <c r="P349" s="44">
        <v>45105</v>
      </c>
      <c r="Q349" s="43" t="s">
        <v>708</v>
      </c>
      <c r="R349" s="46" t="s">
        <v>708</v>
      </c>
      <c r="S349" s="45" t="s">
        <v>2641</v>
      </c>
      <c r="T349" s="46" t="s">
        <v>708</v>
      </c>
      <c r="U349" s="45">
        <v>0</v>
      </c>
      <c r="V349" s="43" t="s">
        <v>121</v>
      </c>
      <c r="W349" s="44" t="s">
        <v>121</v>
      </c>
      <c r="X349" s="45">
        <v>0</v>
      </c>
      <c r="Y349" s="46" t="s">
        <v>708</v>
      </c>
      <c r="Z349" s="48" t="s">
        <v>120</v>
      </c>
      <c r="AA349" s="48"/>
      <c r="AB349" s="48"/>
      <c r="AC349" s="26"/>
      <c r="AD349" s="48"/>
      <c r="AE349" s="48"/>
      <c r="AF349" s="48"/>
      <c r="AG349" s="45"/>
      <c r="AH349" s="50">
        <f>U349+AG349</f>
        <v>0</v>
      </c>
      <c r="AI349" s="48"/>
      <c r="AJ349" s="48"/>
      <c r="AK349" s="48"/>
      <c r="AL349" s="42"/>
      <c r="AM349" s="48"/>
      <c r="AN349" s="48"/>
      <c r="AO349" s="38"/>
      <c r="AP349" s="38"/>
      <c r="AQ349" s="38"/>
      <c r="AR349" s="38"/>
      <c r="AS349" s="38"/>
      <c r="AT349" s="51"/>
      <c r="AU349" s="52"/>
      <c r="AV349" s="38"/>
      <c r="AW349" s="41" t="s">
        <v>2644</v>
      </c>
      <c r="AX349" s="54" t="s">
        <v>57</v>
      </c>
      <c r="AY349" s="54" t="s">
        <v>2645</v>
      </c>
    </row>
    <row r="350" spans="2:51" s="37" customFormat="1" ht="15" customHeight="1" x14ac:dyDescent="0.25">
      <c r="B350" s="38">
        <v>349</v>
      </c>
      <c r="C350" s="39">
        <v>2023</v>
      </c>
      <c r="D350" s="40" t="s">
        <v>16</v>
      </c>
      <c r="E350" s="41" t="s">
        <v>518</v>
      </c>
      <c r="F350" s="40" t="s">
        <v>97</v>
      </c>
      <c r="G350" s="40" t="s">
        <v>2636</v>
      </c>
      <c r="H350" s="41" t="s">
        <v>2657</v>
      </c>
      <c r="I350" s="25" t="s">
        <v>2658</v>
      </c>
      <c r="J350" s="42" t="s">
        <v>2648</v>
      </c>
      <c r="K350" s="42" t="s">
        <v>17</v>
      </c>
      <c r="L350" s="26">
        <v>830147095</v>
      </c>
      <c r="M350" s="43" t="s">
        <v>121</v>
      </c>
      <c r="N350" s="44" t="s">
        <v>121</v>
      </c>
      <c r="O350" s="45">
        <v>0</v>
      </c>
      <c r="P350" s="44">
        <v>45105</v>
      </c>
      <c r="Q350" s="43" t="s">
        <v>2659</v>
      </c>
      <c r="R350" s="46">
        <v>45229</v>
      </c>
      <c r="S350" s="45" t="s">
        <v>2641</v>
      </c>
      <c r="T350" s="46">
        <v>45229</v>
      </c>
      <c r="U350" s="45">
        <v>0</v>
      </c>
      <c r="V350" s="43" t="s">
        <v>121</v>
      </c>
      <c r="W350" s="44" t="s">
        <v>121</v>
      </c>
      <c r="X350" s="45">
        <v>0</v>
      </c>
      <c r="Y350" s="46">
        <v>47055</v>
      </c>
      <c r="Z350" s="48" t="s">
        <v>120</v>
      </c>
      <c r="AA350" s="48"/>
      <c r="AB350" s="48"/>
      <c r="AC350" s="26"/>
      <c r="AD350" s="48"/>
      <c r="AE350" s="48"/>
      <c r="AF350" s="48"/>
      <c r="AG350" s="45"/>
      <c r="AH350" s="50">
        <f>U350+AG350</f>
        <v>0</v>
      </c>
      <c r="AI350" s="48"/>
      <c r="AJ350" s="48"/>
      <c r="AK350" s="48"/>
      <c r="AL350" s="42"/>
      <c r="AM350" s="48"/>
      <c r="AN350" s="48"/>
      <c r="AO350" s="38"/>
      <c r="AP350" s="38"/>
      <c r="AQ350" s="38"/>
      <c r="AR350" s="38"/>
      <c r="AS350" s="38"/>
      <c r="AT350" s="51"/>
      <c r="AU350" s="52"/>
      <c r="AV350" s="38"/>
      <c r="AW350" s="41" t="s">
        <v>56</v>
      </c>
      <c r="AX350" s="54" t="s">
        <v>57</v>
      </c>
      <c r="AY350" s="63">
        <v>20235920010333</v>
      </c>
    </row>
    <row r="351" spans="2:51" s="37" customFormat="1" ht="15" customHeight="1" x14ac:dyDescent="0.25">
      <c r="B351" s="38">
        <v>350</v>
      </c>
      <c r="C351" s="39">
        <v>2023</v>
      </c>
      <c r="D351" s="40" t="s">
        <v>18</v>
      </c>
      <c r="E351" s="41" t="s">
        <v>518</v>
      </c>
      <c r="F351" s="40" t="s">
        <v>97</v>
      </c>
      <c r="G351" s="40" t="s">
        <v>2636</v>
      </c>
      <c r="H351" s="41" t="s">
        <v>2660</v>
      </c>
      <c r="I351" s="25" t="s">
        <v>2661</v>
      </c>
      <c r="J351" s="42" t="s">
        <v>2648</v>
      </c>
      <c r="K351" s="42" t="s">
        <v>19</v>
      </c>
      <c r="L351" s="26">
        <v>830056645</v>
      </c>
      <c r="M351" s="43" t="s">
        <v>121</v>
      </c>
      <c r="N351" s="44" t="s">
        <v>121</v>
      </c>
      <c r="O351" s="45">
        <v>0</v>
      </c>
      <c r="P351" s="44">
        <v>45105</v>
      </c>
      <c r="Q351" s="43" t="s">
        <v>2662</v>
      </c>
      <c r="R351" s="46">
        <v>45205</v>
      </c>
      <c r="S351" s="45" t="s">
        <v>2641</v>
      </c>
      <c r="T351" s="46">
        <v>45205</v>
      </c>
      <c r="U351" s="45">
        <v>0</v>
      </c>
      <c r="V351" s="43" t="s">
        <v>121</v>
      </c>
      <c r="W351" s="44" t="s">
        <v>121</v>
      </c>
      <c r="X351" s="45">
        <v>0</v>
      </c>
      <c r="Y351" s="46">
        <v>47031</v>
      </c>
      <c r="Z351" s="48" t="s">
        <v>120</v>
      </c>
      <c r="AA351" s="48"/>
      <c r="AB351" s="48"/>
      <c r="AC351" s="26"/>
      <c r="AD351" s="48"/>
      <c r="AE351" s="48"/>
      <c r="AF351" s="48"/>
      <c r="AG351" s="45"/>
      <c r="AH351" s="50">
        <f>U351+AG351</f>
        <v>0</v>
      </c>
      <c r="AI351" s="48"/>
      <c r="AJ351" s="48"/>
      <c r="AK351" s="48"/>
      <c r="AL351" s="42"/>
      <c r="AM351" s="48"/>
      <c r="AN351" s="48"/>
      <c r="AO351" s="38"/>
      <c r="AP351" s="38"/>
      <c r="AQ351" s="38"/>
      <c r="AR351" s="38"/>
      <c r="AS351" s="38"/>
      <c r="AT351" s="51"/>
      <c r="AU351" s="52"/>
      <c r="AV351" s="38"/>
      <c r="AW351" s="41" t="s">
        <v>56</v>
      </c>
      <c r="AX351" s="54" t="s">
        <v>57</v>
      </c>
      <c r="AY351" s="54">
        <v>20235920009783</v>
      </c>
    </row>
    <row r="352" spans="2:51" s="37" customFormat="1" ht="15" customHeight="1" x14ac:dyDescent="0.25">
      <c r="B352" s="38">
        <v>351</v>
      </c>
      <c r="C352" s="39">
        <v>2023</v>
      </c>
      <c r="D352" s="40" t="s">
        <v>20</v>
      </c>
      <c r="E352" s="41" t="s">
        <v>518</v>
      </c>
      <c r="F352" s="40" t="s">
        <v>97</v>
      </c>
      <c r="G352" s="40" t="s">
        <v>2636</v>
      </c>
      <c r="H352" s="41" t="s">
        <v>2663</v>
      </c>
      <c r="I352" s="25" t="s">
        <v>2664</v>
      </c>
      <c r="J352" s="42" t="s">
        <v>2665</v>
      </c>
      <c r="K352" s="42" t="s">
        <v>21</v>
      </c>
      <c r="L352" s="26">
        <v>830048860</v>
      </c>
      <c r="M352" s="43" t="s">
        <v>121</v>
      </c>
      <c r="N352" s="44" t="s">
        <v>121</v>
      </c>
      <c r="O352" s="45">
        <v>0</v>
      </c>
      <c r="P352" s="44">
        <v>45105</v>
      </c>
      <c r="Q352" s="43" t="s">
        <v>2666</v>
      </c>
      <c r="R352" s="46">
        <v>45133</v>
      </c>
      <c r="S352" s="45" t="s">
        <v>2641</v>
      </c>
      <c r="T352" s="46">
        <v>45133</v>
      </c>
      <c r="U352" s="45">
        <v>0</v>
      </c>
      <c r="V352" s="43" t="s">
        <v>121</v>
      </c>
      <c r="W352" s="44" t="s">
        <v>121</v>
      </c>
      <c r="X352" s="45">
        <v>0</v>
      </c>
      <c r="Y352" s="46">
        <v>46959</v>
      </c>
      <c r="Z352" s="48" t="s">
        <v>120</v>
      </c>
      <c r="AA352" s="48"/>
      <c r="AB352" s="48"/>
      <c r="AC352" s="26"/>
      <c r="AD352" s="48"/>
      <c r="AE352" s="48"/>
      <c r="AF352" s="48"/>
      <c r="AG352" s="45"/>
      <c r="AH352" s="50">
        <f>U352+AG352</f>
        <v>0</v>
      </c>
      <c r="AI352" s="48"/>
      <c r="AJ352" s="48"/>
      <c r="AK352" s="48"/>
      <c r="AL352" s="42"/>
      <c r="AM352" s="48"/>
      <c r="AN352" s="48"/>
      <c r="AO352" s="38"/>
      <c r="AP352" s="38"/>
      <c r="AQ352" s="38"/>
      <c r="AR352" s="38"/>
      <c r="AS352" s="38"/>
      <c r="AT352" s="51"/>
      <c r="AU352" s="52"/>
      <c r="AV352" s="38"/>
      <c r="AW352" s="41" t="s">
        <v>56</v>
      </c>
      <c r="AX352" s="54" t="s">
        <v>57</v>
      </c>
      <c r="AY352" s="54">
        <v>20235920007933</v>
      </c>
    </row>
    <row r="353" spans="2:51" s="37" customFormat="1" ht="15" x14ac:dyDescent="0.25">
      <c r="B353" s="38">
        <v>352</v>
      </c>
      <c r="C353" s="39">
        <v>2023</v>
      </c>
      <c r="D353" s="40" t="s">
        <v>2667</v>
      </c>
      <c r="E353" s="41" t="s">
        <v>518</v>
      </c>
      <c r="F353" s="40" t="s">
        <v>97</v>
      </c>
      <c r="G353" s="40" t="s">
        <v>98</v>
      </c>
      <c r="H353" s="41" t="s">
        <v>2668</v>
      </c>
      <c r="I353" s="25" t="s">
        <v>2669</v>
      </c>
      <c r="J353" s="42" t="s">
        <v>989</v>
      </c>
      <c r="K353" s="42" t="s">
        <v>1804</v>
      </c>
      <c r="L353" s="26">
        <v>1032450695</v>
      </c>
      <c r="M353" s="43">
        <v>1178</v>
      </c>
      <c r="N353" s="44">
        <v>45082</v>
      </c>
      <c r="O353" s="45">
        <v>30000000</v>
      </c>
      <c r="P353" s="44">
        <v>45105</v>
      </c>
      <c r="Q353" s="43" t="s">
        <v>2670</v>
      </c>
      <c r="R353" s="46">
        <v>45106</v>
      </c>
      <c r="S353" s="45" t="s">
        <v>2400</v>
      </c>
      <c r="T353" s="46">
        <v>45106</v>
      </c>
      <c r="U353" s="45">
        <v>15000000</v>
      </c>
      <c r="V353" s="43">
        <v>1218</v>
      </c>
      <c r="W353" s="44">
        <v>45105</v>
      </c>
      <c r="X353" s="47">
        <v>15000000</v>
      </c>
      <c r="Y353" s="46">
        <v>45288</v>
      </c>
      <c r="Z353" s="48" t="s">
        <v>120</v>
      </c>
      <c r="AA353" s="48"/>
      <c r="AB353" s="48"/>
      <c r="AC353" s="26"/>
      <c r="AD353" s="48"/>
      <c r="AE353" s="48"/>
      <c r="AF353" s="48"/>
      <c r="AG353" s="45"/>
      <c r="AH353" s="50">
        <f>U353+AG353</f>
        <v>15000000</v>
      </c>
      <c r="AI353" s="48"/>
      <c r="AJ353" s="48"/>
      <c r="AK353" s="48"/>
      <c r="AL353" s="42"/>
      <c r="AM353" s="48"/>
      <c r="AN353" s="48"/>
      <c r="AO353" s="38"/>
      <c r="AP353" s="38"/>
      <c r="AQ353" s="38"/>
      <c r="AR353" s="38"/>
      <c r="AS353" s="38"/>
      <c r="AT353" s="51"/>
      <c r="AU353" s="52"/>
      <c r="AV353" s="38"/>
      <c r="AW353" s="41" t="s">
        <v>56</v>
      </c>
      <c r="AX353" s="54" t="s">
        <v>123</v>
      </c>
      <c r="AY353" s="54">
        <v>20235920007183</v>
      </c>
    </row>
    <row r="354" spans="2:51" s="37" customFormat="1" ht="15" x14ac:dyDescent="0.25">
      <c r="B354" s="38">
        <v>353</v>
      </c>
      <c r="C354" s="39">
        <v>2023</v>
      </c>
      <c r="D354" s="40" t="s">
        <v>2671</v>
      </c>
      <c r="E354" s="41" t="s">
        <v>2010</v>
      </c>
      <c r="F354" s="40" t="s">
        <v>97</v>
      </c>
      <c r="G354" s="40" t="s">
        <v>98</v>
      </c>
      <c r="H354" s="41" t="s">
        <v>2672</v>
      </c>
      <c r="I354" s="25" t="s">
        <v>2673</v>
      </c>
      <c r="J354" s="42" t="s">
        <v>2674</v>
      </c>
      <c r="K354" s="42" t="s">
        <v>209</v>
      </c>
      <c r="L354" s="26">
        <v>52321265</v>
      </c>
      <c r="M354" s="43">
        <v>1194</v>
      </c>
      <c r="N354" s="44">
        <v>45091</v>
      </c>
      <c r="O354" s="45">
        <v>40300000</v>
      </c>
      <c r="P354" s="44">
        <v>45105</v>
      </c>
      <c r="Q354" s="43" t="s">
        <v>2675</v>
      </c>
      <c r="R354" s="46">
        <v>45107</v>
      </c>
      <c r="S354" s="45" t="s">
        <v>2400</v>
      </c>
      <c r="T354" s="46">
        <v>45107</v>
      </c>
      <c r="U354" s="45">
        <v>37200000</v>
      </c>
      <c r="V354" s="43">
        <v>1219</v>
      </c>
      <c r="W354" s="44">
        <v>45105</v>
      </c>
      <c r="X354" s="47">
        <v>37200000</v>
      </c>
      <c r="Y354" s="46">
        <v>45289</v>
      </c>
      <c r="Z354" s="48" t="s">
        <v>120</v>
      </c>
      <c r="AA354" s="48"/>
      <c r="AB354" s="48"/>
      <c r="AC354" s="26"/>
      <c r="AD354" s="48"/>
      <c r="AE354" s="48"/>
      <c r="AF354" s="48"/>
      <c r="AG354" s="45"/>
      <c r="AH354" s="50">
        <f>U354+AG354</f>
        <v>37200000</v>
      </c>
      <c r="AI354" s="48"/>
      <c r="AJ354" s="48"/>
      <c r="AK354" s="48"/>
      <c r="AL354" s="42"/>
      <c r="AM354" s="48"/>
      <c r="AN354" s="48"/>
      <c r="AO354" s="38"/>
      <c r="AP354" s="38"/>
      <c r="AQ354" s="38"/>
      <c r="AR354" s="38"/>
      <c r="AS354" s="38"/>
      <c r="AT354" s="51"/>
      <c r="AU354" s="52"/>
      <c r="AV354" s="38"/>
      <c r="AW354" s="41" t="s">
        <v>56</v>
      </c>
      <c r="AX354" s="40" t="s">
        <v>184</v>
      </c>
      <c r="AY354" s="54">
        <v>20235920007033</v>
      </c>
    </row>
    <row r="355" spans="2:51" s="37" customFormat="1" ht="15" customHeight="1" x14ac:dyDescent="0.25">
      <c r="B355" s="38">
        <v>354</v>
      </c>
      <c r="C355" s="39">
        <v>2023</v>
      </c>
      <c r="D355" s="40" t="s">
        <v>22</v>
      </c>
      <c r="E355" s="41" t="s">
        <v>96</v>
      </c>
      <c r="F355" s="40" t="s">
        <v>97</v>
      </c>
      <c r="G355" s="40" t="s">
        <v>2636</v>
      </c>
      <c r="H355" s="41" t="s">
        <v>2676</v>
      </c>
      <c r="I355" s="25" t="s">
        <v>2677</v>
      </c>
      <c r="J355" s="42" t="s">
        <v>2648</v>
      </c>
      <c r="K355" s="42" t="s">
        <v>23</v>
      </c>
      <c r="L355" s="26">
        <v>800092370</v>
      </c>
      <c r="M355" s="43" t="s">
        <v>121</v>
      </c>
      <c r="N355" s="44" t="s">
        <v>121</v>
      </c>
      <c r="O355" s="45">
        <v>0</v>
      </c>
      <c r="P355" s="44">
        <v>45105</v>
      </c>
      <c r="Q355" s="43" t="s">
        <v>2678</v>
      </c>
      <c r="R355" s="46">
        <v>45132</v>
      </c>
      <c r="S355" s="45" t="s">
        <v>2641</v>
      </c>
      <c r="T355" s="46">
        <v>45132</v>
      </c>
      <c r="U355" s="45">
        <v>0</v>
      </c>
      <c r="V355" s="43" t="s">
        <v>121</v>
      </c>
      <c r="W355" s="44" t="s">
        <v>121</v>
      </c>
      <c r="X355" s="45">
        <v>0</v>
      </c>
      <c r="Y355" s="46">
        <v>46958</v>
      </c>
      <c r="Z355" s="48" t="s">
        <v>120</v>
      </c>
      <c r="AA355" s="48"/>
      <c r="AB355" s="48"/>
      <c r="AC355" s="26"/>
      <c r="AD355" s="48"/>
      <c r="AE355" s="48"/>
      <c r="AF355" s="48"/>
      <c r="AG355" s="45"/>
      <c r="AH355" s="50">
        <f>U355+AG355</f>
        <v>0</v>
      </c>
      <c r="AI355" s="48"/>
      <c r="AJ355" s="48"/>
      <c r="AK355" s="48"/>
      <c r="AL355" s="42"/>
      <c r="AM355" s="48"/>
      <c r="AN355" s="48"/>
      <c r="AO355" s="38"/>
      <c r="AP355" s="38"/>
      <c r="AQ355" s="38"/>
      <c r="AR355" s="38"/>
      <c r="AS355" s="38"/>
      <c r="AT355" s="51"/>
      <c r="AU355" s="52"/>
      <c r="AV355" s="38"/>
      <c r="AW355" s="41" t="s">
        <v>56</v>
      </c>
      <c r="AX355" s="54" t="s">
        <v>57</v>
      </c>
      <c r="AY355" s="54">
        <v>20235920008353</v>
      </c>
    </row>
    <row r="356" spans="2:51" s="37" customFormat="1" ht="15" customHeight="1" x14ac:dyDescent="0.25">
      <c r="B356" s="38">
        <v>355</v>
      </c>
      <c r="C356" s="39">
        <v>2023</v>
      </c>
      <c r="D356" s="40" t="s">
        <v>24</v>
      </c>
      <c r="E356" s="41" t="s">
        <v>153</v>
      </c>
      <c r="F356" s="40" t="s">
        <v>97</v>
      </c>
      <c r="G356" s="40" t="s">
        <v>2636</v>
      </c>
      <c r="H356" s="41" t="s">
        <v>2679</v>
      </c>
      <c r="I356" s="25" t="s">
        <v>2680</v>
      </c>
      <c r="J356" s="42" t="s">
        <v>2648</v>
      </c>
      <c r="K356" s="42" t="s">
        <v>25</v>
      </c>
      <c r="L356" s="26">
        <v>830063049</v>
      </c>
      <c r="M356" s="43" t="s">
        <v>121</v>
      </c>
      <c r="N356" s="44" t="s">
        <v>121</v>
      </c>
      <c r="O356" s="45">
        <v>0</v>
      </c>
      <c r="P356" s="44">
        <v>45105</v>
      </c>
      <c r="Q356" s="43" t="s">
        <v>708</v>
      </c>
      <c r="R356" s="46" t="s">
        <v>708</v>
      </c>
      <c r="S356" s="45" t="s">
        <v>2641</v>
      </c>
      <c r="T356" s="46" t="s">
        <v>708</v>
      </c>
      <c r="U356" s="45">
        <v>0</v>
      </c>
      <c r="V356" s="43" t="s">
        <v>121</v>
      </c>
      <c r="W356" s="44" t="s">
        <v>121</v>
      </c>
      <c r="X356" s="45">
        <v>0</v>
      </c>
      <c r="Y356" s="46" t="s">
        <v>708</v>
      </c>
      <c r="Z356" s="48" t="s">
        <v>120</v>
      </c>
      <c r="AA356" s="48"/>
      <c r="AB356" s="48"/>
      <c r="AC356" s="26"/>
      <c r="AD356" s="48"/>
      <c r="AE356" s="48"/>
      <c r="AF356" s="48"/>
      <c r="AG356" s="45"/>
      <c r="AH356" s="50">
        <f>U356+AG356</f>
        <v>0</v>
      </c>
      <c r="AI356" s="48"/>
      <c r="AJ356" s="48"/>
      <c r="AK356" s="48"/>
      <c r="AL356" s="42"/>
      <c r="AM356" s="48"/>
      <c r="AN356" s="48"/>
      <c r="AO356" s="38"/>
      <c r="AP356" s="38"/>
      <c r="AQ356" s="38"/>
      <c r="AR356" s="38"/>
      <c r="AS356" s="38"/>
      <c r="AT356" s="51"/>
      <c r="AU356" s="52"/>
      <c r="AV356" s="38"/>
      <c r="AW356" s="41" t="s">
        <v>2644</v>
      </c>
      <c r="AX356" s="54" t="s">
        <v>57</v>
      </c>
      <c r="AY356" s="54" t="s">
        <v>2645</v>
      </c>
    </row>
    <row r="357" spans="2:51" s="37" customFormat="1" ht="30.75" customHeight="1" x14ac:dyDescent="0.25">
      <c r="B357" s="38">
        <v>356</v>
      </c>
      <c r="C357" s="39">
        <v>2023</v>
      </c>
      <c r="D357" s="40" t="s">
        <v>26</v>
      </c>
      <c r="E357" s="41" t="s">
        <v>153</v>
      </c>
      <c r="F357" s="40" t="s">
        <v>97</v>
      </c>
      <c r="G357" s="40" t="s">
        <v>2636</v>
      </c>
      <c r="H357" s="41" t="s">
        <v>2681</v>
      </c>
      <c r="I357" s="25" t="s">
        <v>2682</v>
      </c>
      <c r="J357" s="62" t="s">
        <v>2683</v>
      </c>
      <c r="K357" s="42" t="s">
        <v>27</v>
      </c>
      <c r="L357" s="26">
        <v>800096327</v>
      </c>
      <c r="M357" s="43" t="s">
        <v>121</v>
      </c>
      <c r="N357" s="44" t="s">
        <v>121</v>
      </c>
      <c r="O357" s="45">
        <v>0</v>
      </c>
      <c r="P357" s="44">
        <v>45105</v>
      </c>
      <c r="Q357" s="43" t="s">
        <v>708</v>
      </c>
      <c r="R357" s="46" t="s">
        <v>708</v>
      </c>
      <c r="S357" s="45" t="s">
        <v>2641</v>
      </c>
      <c r="T357" s="46" t="s">
        <v>708</v>
      </c>
      <c r="U357" s="45">
        <v>0</v>
      </c>
      <c r="V357" s="43" t="s">
        <v>121</v>
      </c>
      <c r="W357" s="44" t="s">
        <v>121</v>
      </c>
      <c r="X357" s="45">
        <v>0</v>
      </c>
      <c r="Y357" s="46" t="s">
        <v>708</v>
      </c>
      <c r="Z357" s="48" t="s">
        <v>120</v>
      </c>
      <c r="AA357" s="48"/>
      <c r="AB357" s="48"/>
      <c r="AC357" s="26"/>
      <c r="AD357" s="48"/>
      <c r="AE357" s="48"/>
      <c r="AF357" s="48"/>
      <c r="AG357" s="45"/>
      <c r="AH357" s="50">
        <f>U357+AG357</f>
        <v>0</v>
      </c>
      <c r="AI357" s="48"/>
      <c r="AJ357" s="48"/>
      <c r="AK357" s="48"/>
      <c r="AL357" s="42"/>
      <c r="AM357" s="48"/>
      <c r="AN357" s="48"/>
      <c r="AO357" s="38"/>
      <c r="AP357" s="38"/>
      <c r="AQ357" s="38"/>
      <c r="AR357" s="38"/>
      <c r="AS357" s="38"/>
      <c r="AT357" s="51"/>
      <c r="AU357" s="52"/>
      <c r="AV357" s="38"/>
      <c r="AW357" s="41" t="s">
        <v>2644</v>
      </c>
      <c r="AX357" s="54" t="s">
        <v>57</v>
      </c>
      <c r="AY357" s="54" t="s">
        <v>2645</v>
      </c>
    </row>
    <row r="358" spans="2:51" s="37" customFormat="1" ht="15" customHeight="1" x14ac:dyDescent="0.25">
      <c r="B358" s="38">
        <v>357</v>
      </c>
      <c r="C358" s="39">
        <v>2023</v>
      </c>
      <c r="D358" s="40" t="s">
        <v>28</v>
      </c>
      <c r="E358" s="41" t="s">
        <v>324</v>
      </c>
      <c r="F358" s="40" t="s">
        <v>97</v>
      </c>
      <c r="G358" s="40" t="s">
        <v>2636</v>
      </c>
      <c r="H358" s="41" t="s">
        <v>2684</v>
      </c>
      <c r="I358" s="25" t="s">
        <v>2685</v>
      </c>
      <c r="J358" s="42" t="s">
        <v>2686</v>
      </c>
      <c r="K358" s="42" t="s">
        <v>29</v>
      </c>
      <c r="L358" s="26">
        <v>901005313</v>
      </c>
      <c r="M358" s="43" t="s">
        <v>121</v>
      </c>
      <c r="N358" s="44" t="s">
        <v>121</v>
      </c>
      <c r="O358" s="45">
        <v>0</v>
      </c>
      <c r="P358" s="44">
        <v>45105</v>
      </c>
      <c r="Q358" s="43" t="s">
        <v>2687</v>
      </c>
      <c r="R358" s="46">
        <v>45147</v>
      </c>
      <c r="S358" s="45" t="s">
        <v>2641</v>
      </c>
      <c r="T358" s="46">
        <v>45147</v>
      </c>
      <c r="U358" s="45">
        <v>0</v>
      </c>
      <c r="V358" s="43" t="s">
        <v>121</v>
      </c>
      <c r="W358" s="44" t="s">
        <v>121</v>
      </c>
      <c r="X358" s="45">
        <v>0</v>
      </c>
      <c r="Y358" s="46">
        <v>46973</v>
      </c>
      <c r="Z358" s="48" t="s">
        <v>120</v>
      </c>
      <c r="AA358" s="48"/>
      <c r="AB358" s="48"/>
      <c r="AC358" s="26"/>
      <c r="AD358" s="48"/>
      <c r="AE358" s="48"/>
      <c r="AF358" s="48"/>
      <c r="AG358" s="45"/>
      <c r="AH358" s="50">
        <f>U358+AG358</f>
        <v>0</v>
      </c>
      <c r="AI358" s="48"/>
      <c r="AJ358" s="48"/>
      <c r="AK358" s="48"/>
      <c r="AL358" s="42"/>
      <c r="AM358" s="48"/>
      <c r="AN358" s="48"/>
      <c r="AO358" s="38"/>
      <c r="AP358" s="38"/>
      <c r="AQ358" s="38"/>
      <c r="AR358" s="38"/>
      <c r="AS358" s="38"/>
      <c r="AT358" s="51"/>
      <c r="AU358" s="52"/>
      <c r="AV358" s="38"/>
      <c r="AW358" s="41" t="s">
        <v>56</v>
      </c>
      <c r="AX358" s="54" t="s">
        <v>57</v>
      </c>
      <c r="AY358" s="54">
        <v>20235920007933</v>
      </c>
    </row>
    <row r="359" spans="2:51" s="37" customFormat="1" ht="15" customHeight="1" x14ac:dyDescent="0.25">
      <c r="B359" s="38">
        <v>358</v>
      </c>
      <c r="C359" s="39">
        <v>2023</v>
      </c>
      <c r="D359" s="40" t="s">
        <v>2688</v>
      </c>
      <c r="E359" s="41" t="s">
        <v>96</v>
      </c>
      <c r="F359" s="40" t="s">
        <v>97</v>
      </c>
      <c r="G359" s="40" t="s">
        <v>98</v>
      </c>
      <c r="H359" s="41" t="s">
        <v>2689</v>
      </c>
      <c r="I359" s="25" t="s">
        <v>2690</v>
      </c>
      <c r="J359" s="42" t="s">
        <v>2691</v>
      </c>
      <c r="K359" s="42" t="s">
        <v>2692</v>
      </c>
      <c r="L359" s="26">
        <v>1010236147</v>
      </c>
      <c r="M359" s="43">
        <v>1198</v>
      </c>
      <c r="N359" s="44">
        <v>45093</v>
      </c>
      <c r="O359" s="45">
        <v>30000000</v>
      </c>
      <c r="P359" s="44">
        <v>45105</v>
      </c>
      <c r="Q359" s="43" t="s">
        <v>2693</v>
      </c>
      <c r="R359" s="46">
        <v>45107</v>
      </c>
      <c r="S359" s="45" t="s">
        <v>2400</v>
      </c>
      <c r="T359" s="46">
        <v>45107</v>
      </c>
      <c r="U359" s="45">
        <v>30000000</v>
      </c>
      <c r="V359" s="43">
        <v>1220</v>
      </c>
      <c r="W359" s="44">
        <v>45105</v>
      </c>
      <c r="X359" s="45">
        <v>30000000</v>
      </c>
      <c r="Y359" s="46">
        <v>45289</v>
      </c>
      <c r="Z359" s="48" t="s">
        <v>120</v>
      </c>
      <c r="AA359" s="49"/>
      <c r="AB359" s="49"/>
      <c r="AC359" s="26"/>
      <c r="AD359" s="49"/>
      <c r="AE359" s="49"/>
      <c r="AF359" s="49"/>
      <c r="AG359" s="45"/>
      <c r="AH359" s="50">
        <f>U359+AG359</f>
        <v>30000000</v>
      </c>
      <c r="AI359" s="48"/>
      <c r="AJ359" s="49"/>
      <c r="AK359" s="49"/>
      <c r="AL359" s="42"/>
      <c r="AM359" s="48"/>
      <c r="AN359" s="48"/>
      <c r="AO359" s="49"/>
      <c r="AP359" s="49"/>
      <c r="AQ359" s="49"/>
      <c r="AR359" s="49"/>
      <c r="AS359" s="49"/>
      <c r="AT359" s="49"/>
      <c r="AU359" s="49"/>
      <c r="AV359" s="49"/>
      <c r="AW359" s="41" t="s">
        <v>56</v>
      </c>
      <c r="AX359" s="41" t="s">
        <v>111</v>
      </c>
      <c r="AY359" s="54">
        <v>20235920007253</v>
      </c>
    </row>
    <row r="360" spans="2:51" s="37" customFormat="1" ht="15" customHeight="1" x14ac:dyDescent="0.25">
      <c r="B360" s="38">
        <v>359</v>
      </c>
      <c r="C360" s="39">
        <v>2023</v>
      </c>
      <c r="D360" s="40" t="s">
        <v>30</v>
      </c>
      <c r="E360" s="41" t="s">
        <v>199</v>
      </c>
      <c r="F360" s="40" t="s">
        <v>97</v>
      </c>
      <c r="G360" s="40" t="s">
        <v>2636</v>
      </c>
      <c r="H360" s="41" t="s">
        <v>2694</v>
      </c>
      <c r="I360" s="25" t="s">
        <v>2695</v>
      </c>
      <c r="J360" s="42" t="s">
        <v>2648</v>
      </c>
      <c r="K360" s="42" t="s">
        <v>31</v>
      </c>
      <c r="L360" s="26">
        <v>900064316</v>
      </c>
      <c r="M360" s="43" t="s">
        <v>121</v>
      </c>
      <c r="N360" s="44" t="s">
        <v>121</v>
      </c>
      <c r="O360" s="45">
        <v>0</v>
      </c>
      <c r="P360" s="44">
        <v>45105</v>
      </c>
      <c r="Q360" s="43" t="s">
        <v>708</v>
      </c>
      <c r="R360" s="46" t="s">
        <v>708</v>
      </c>
      <c r="S360" s="45" t="s">
        <v>2641</v>
      </c>
      <c r="T360" s="46" t="s">
        <v>708</v>
      </c>
      <c r="U360" s="45">
        <v>0</v>
      </c>
      <c r="V360" s="43" t="s">
        <v>121</v>
      </c>
      <c r="W360" s="44" t="s">
        <v>121</v>
      </c>
      <c r="X360" s="45">
        <v>0</v>
      </c>
      <c r="Y360" s="46" t="s">
        <v>708</v>
      </c>
      <c r="Z360" s="48" t="s">
        <v>120</v>
      </c>
      <c r="AA360" s="48"/>
      <c r="AB360" s="48"/>
      <c r="AC360" s="26"/>
      <c r="AD360" s="48"/>
      <c r="AE360" s="48"/>
      <c r="AF360" s="48"/>
      <c r="AG360" s="45"/>
      <c r="AH360" s="50">
        <f>U360+AG360</f>
        <v>0</v>
      </c>
      <c r="AI360" s="48"/>
      <c r="AJ360" s="48"/>
      <c r="AK360" s="48"/>
      <c r="AL360" s="42"/>
      <c r="AM360" s="48"/>
      <c r="AN360" s="48"/>
      <c r="AO360" s="38"/>
      <c r="AP360" s="38"/>
      <c r="AQ360" s="38"/>
      <c r="AR360" s="38"/>
      <c r="AS360" s="38"/>
      <c r="AT360" s="51"/>
      <c r="AU360" s="52"/>
      <c r="AV360" s="38"/>
      <c r="AW360" s="41" t="s">
        <v>2644</v>
      </c>
      <c r="AX360" s="54" t="s">
        <v>57</v>
      </c>
      <c r="AY360" s="54" t="s">
        <v>2645</v>
      </c>
    </row>
    <row r="361" spans="2:51" s="37" customFormat="1" ht="26.25" customHeight="1" x14ac:dyDescent="0.25">
      <c r="B361" s="38">
        <v>360</v>
      </c>
      <c r="C361" s="39">
        <v>2023</v>
      </c>
      <c r="D361" s="41" t="s">
        <v>2696</v>
      </c>
      <c r="E361" s="41" t="s">
        <v>96</v>
      </c>
      <c r="F361" s="40" t="s">
        <v>97</v>
      </c>
      <c r="G361" s="40" t="s">
        <v>2020</v>
      </c>
      <c r="H361" s="41" t="s">
        <v>2697</v>
      </c>
      <c r="I361" s="25" t="s">
        <v>2698</v>
      </c>
      <c r="J361" s="42" t="s">
        <v>2699</v>
      </c>
      <c r="K361" s="42" t="s">
        <v>2700</v>
      </c>
      <c r="L361" s="26">
        <v>899999061</v>
      </c>
      <c r="M361" s="43">
        <v>1206</v>
      </c>
      <c r="N361" s="44">
        <v>45103</v>
      </c>
      <c r="O361" s="45">
        <v>275000000</v>
      </c>
      <c r="P361" s="44">
        <v>45105</v>
      </c>
      <c r="Q361" s="43" t="s">
        <v>121</v>
      </c>
      <c r="R361" s="43" t="s">
        <v>121</v>
      </c>
      <c r="S361" s="45" t="s">
        <v>2701</v>
      </c>
      <c r="T361" s="46">
        <v>45140</v>
      </c>
      <c r="U361" s="45">
        <v>4754999100</v>
      </c>
      <c r="V361" s="43">
        <v>1216</v>
      </c>
      <c r="W361" s="44">
        <v>45105</v>
      </c>
      <c r="X361" s="47">
        <v>275000000</v>
      </c>
      <c r="Y361" s="46">
        <v>45412</v>
      </c>
      <c r="Z361" s="48" t="s">
        <v>120</v>
      </c>
      <c r="AA361" s="48"/>
      <c r="AB361" s="48"/>
      <c r="AC361" s="26"/>
      <c r="AD361" s="48"/>
      <c r="AE361" s="48"/>
      <c r="AF361" s="48"/>
      <c r="AG361" s="45"/>
      <c r="AH361" s="50">
        <f>U361+AG361</f>
        <v>4754999100</v>
      </c>
      <c r="AI361" s="48"/>
      <c r="AJ361" s="48"/>
      <c r="AK361" s="48"/>
      <c r="AL361" s="42"/>
      <c r="AM361" s="48"/>
      <c r="AN361" s="48"/>
      <c r="AO361" s="38"/>
      <c r="AP361" s="38"/>
      <c r="AQ361" s="38"/>
      <c r="AR361" s="38"/>
      <c r="AS361" s="38"/>
      <c r="AT361" s="51"/>
      <c r="AU361" s="52"/>
      <c r="AV361" s="38"/>
      <c r="AW361" s="41" t="s">
        <v>2026</v>
      </c>
      <c r="AX361" s="40" t="s">
        <v>123</v>
      </c>
      <c r="AY361" s="54">
        <v>20235920007883</v>
      </c>
    </row>
    <row r="362" spans="2:51" s="37" customFormat="1" ht="15" customHeight="1" x14ac:dyDescent="0.25">
      <c r="B362" s="38">
        <v>361</v>
      </c>
      <c r="C362" s="39">
        <v>2023</v>
      </c>
      <c r="D362" s="40" t="s">
        <v>32</v>
      </c>
      <c r="E362" s="41" t="s">
        <v>2010</v>
      </c>
      <c r="F362" s="40" t="s">
        <v>97</v>
      </c>
      <c r="G362" s="40" t="s">
        <v>2636</v>
      </c>
      <c r="H362" s="41" t="s">
        <v>2702</v>
      </c>
      <c r="I362" s="25" t="s">
        <v>2703</v>
      </c>
      <c r="J362" s="42" t="s">
        <v>2648</v>
      </c>
      <c r="K362" s="42" t="s">
        <v>33</v>
      </c>
      <c r="L362" s="26">
        <v>901614122</v>
      </c>
      <c r="M362" s="43" t="s">
        <v>121</v>
      </c>
      <c r="N362" s="44" t="s">
        <v>121</v>
      </c>
      <c r="O362" s="45">
        <v>0</v>
      </c>
      <c r="P362" s="44">
        <v>45105</v>
      </c>
      <c r="Q362" s="43" t="s">
        <v>708</v>
      </c>
      <c r="R362" s="46" t="s">
        <v>708</v>
      </c>
      <c r="S362" s="45" t="s">
        <v>2641</v>
      </c>
      <c r="T362" s="46" t="s">
        <v>708</v>
      </c>
      <c r="U362" s="45">
        <v>0</v>
      </c>
      <c r="V362" s="43" t="s">
        <v>121</v>
      </c>
      <c r="W362" s="44" t="s">
        <v>121</v>
      </c>
      <c r="X362" s="45">
        <v>0</v>
      </c>
      <c r="Y362" s="46" t="s">
        <v>708</v>
      </c>
      <c r="Z362" s="48" t="s">
        <v>120</v>
      </c>
      <c r="AA362" s="48"/>
      <c r="AB362" s="48"/>
      <c r="AC362" s="26"/>
      <c r="AD362" s="48"/>
      <c r="AE362" s="48"/>
      <c r="AF362" s="48"/>
      <c r="AG362" s="45"/>
      <c r="AH362" s="50">
        <f>U362+AG362</f>
        <v>0</v>
      </c>
      <c r="AI362" s="48"/>
      <c r="AJ362" s="48"/>
      <c r="AK362" s="48"/>
      <c r="AL362" s="42"/>
      <c r="AM362" s="48"/>
      <c r="AN362" s="48"/>
      <c r="AO362" s="38"/>
      <c r="AP362" s="38"/>
      <c r="AQ362" s="38"/>
      <c r="AR362" s="38"/>
      <c r="AS362" s="38"/>
      <c r="AT362" s="51"/>
      <c r="AU362" s="52"/>
      <c r="AV362" s="38"/>
      <c r="AW362" s="41" t="s">
        <v>2644</v>
      </c>
      <c r="AX362" s="54" t="s">
        <v>57</v>
      </c>
      <c r="AY362" s="54" t="s">
        <v>2645</v>
      </c>
    </row>
    <row r="363" spans="2:51" s="37" customFormat="1" ht="15" customHeight="1" x14ac:dyDescent="0.25">
      <c r="B363" s="38">
        <v>362</v>
      </c>
      <c r="C363" s="39">
        <v>2023</v>
      </c>
      <c r="D363" s="40" t="s">
        <v>34</v>
      </c>
      <c r="E363" s="41" t="s">
        <v>2010</v>
      </c>
      <c r="F363" s="40" t="s">
        <v>97</v>
      </c>
      <c r="G363" s="40" t="s">
        <v>2636</v>
      </c>
      <c r="H363" s="41" t="s">
        <v>2704</v>
      </c>
      <c r="I363" s="25" t="s">
        <v>569</v>
      </c>
      <c r="J363" s="42" t="s">
        <v>2648</v>
      </c>
      <c r="K363" s="42" t="s">
        <v>35</v>
      </c>
      <c r="L363" s="26">
        <v>860070110</v>
      </c>
      <c r="M363" s="43" t="s">
        <v>121</v>
      </c>
      <c r="N363" s="44" t="s">
        <v>121</v>
      </c>
      <c r="O363" s="45">
        <v>0</v>
      </c>
      <c r="P363" s="44" t="s">
        <v>569</v>
      </c>
      <c r="Q363" s="43" t="s">
        <v>569</v>
      </c>
      <c r="R363" s="46" t="s">
        <v>569</v>
      </c>
      <c r="S363" s="45" t="s">
        <v>569</v>
      </c>
      <c r="T363" s="46" t="s">
        <v>569</v>
      </c>
      <c r="U363" s="45" t="s">
        <v>569</v>
      </c>
      <c r="V363" s="43" t="s">
        <v>121</v>
      </c>
      <c r="W363" s="44" t="s">
        <v>121</v>
      </c>
      <c r="X363" s="45" t="s">
        <v>569</v>
      </c>
      <c r="Y363" s="46" t="s">
        <v>569</v>
      </c>
      <c r="Z363" s="48" t="s">
        <v>120</v>
      </c>
      <c r="AA363" s="49" t="s">
        <v>121</v>
      </c>
      <c r="AB363" s="49" t="s">
        <v>121</v>
      </c>
      <c r="AC363" s="26" t="s">
        <v>121</v>
      </c>
      <c r="AD363" s="49" t="s">
        <v>121</v>
      </c>
      <c r="AE363" s="49" t="s">
        <v>121</v>
      </c>
      <c r="AF363" s="49" t="s">
        <v>121</v>
      </c>
      <c r="AG363" s="45" t="s">
        <v>121</v>
      </c>
      <c r="AH363" s="49" t="s">
        <v>121</v>
      </c>
      <c r="AI363" s="48" t="s">
        <v>121</v>
      </c>
      <c r="AJ363" s="49" t="s">
        <v>121</v>
      </c>
      <c r="AK363" s="49" t="s">
        <v>121</v>
      </c>
      <c r="AL363" s="42" t="s">
        <v>121</v>
      </c>
      <c r="AM363" s="48" t="s">
        <v>121</v>
      </c>
      <c r="AN363" s="48" t="s">
        <v>121</v>
      </c>
      <c r="AO363" s="49" t="s">
        <v>121</v>
      </c>
      <c r="AP363" s="49" t="s">
        <v>121</v>
      </c>
      <c r="AQ363" s="49" t="s">
        <v>121</v>
      </c>
      <c r="AR363" s="49" t="s">
        <v>121</v>
      </c>
      <c r="AS363" s="49" t="s">
        <v>121</v>
      </c>
      <c r="AT363" s="49" t="s">
        <v>121</v>
      </c>
      <c r="AU363" s="49" t="s">
        <v>121</v>
      </c>
      <c r="AV363" s="49" t="s">
        <v>121</v>
      </c>
      <c r="AW363" s="41" t="s">
        <v>569</v>
      </c>
      <c r="AX363" s="41" t="s">
        <v>569</v>
      </c>
      <c r="AY363" s="54" t="s">
        <v>569</v>
      </c>
    </row>
    <row r="364" spans="2:51" s="37" customFormat="1" ht="15" customHeight="1" x14ac:dyDescent="0.25">
      <c r="B364" s="38">
        <v>363</v>
      </c>
      <c r="C364" s="39">
        <v>2023</v>
      </c>
      <c r="D364" s="40" t="s">
        <v>36</v>
      </c>
      <c r="E364" s="41" t="s">
        <v>2010</v>
      </c>
      <c r="F364" s="40" t="s">
        <v>97</v>
      </c>
      <c r="G364" s="40" t="s">
        <v>2636</v>
      </c>
      <c r="H364" s="41" t="s">
        <v>2705</v>
      </c>
      <c r="I364" s="25" t="s">
        <v>2706</v>
      </c>
      <c r="J364" s="42" t="s">
        <v>2707</v>
      </c>
      <c r="K364" s="42" t="s">
        <v>37</v>
      </c>
      <c r="L364" s="26">
        <v>900135394</v>
      </c>
      <c r="M364" s="43" t="s">
        <v>121</v>
      </c>
      <c r="N364" s="44" t="s">
        <v>121</v>
      </c>
      <c r="O364" s="45">
        <v>0</v>
      </c>
      <c r="P364" s="44">
        <v>45105</v>
      </c>
      <c r="Q364" s="43" t="s">
        <v>708</v>
      </c>
      <c r="R364" s="46" t="s">
        <v>708</v>
      </c>
      <c r="S364" s="45" t="s">
        <v>2641</v>
      </c>
      <c r="T364" s="46" t="s">
        <v>708</v>
      </c>
      <c r="U364" s="45">
        <v>0</v>
      </c>
      <c r="V364" s="43" t="s">
        <v>121</v>
      </c>
      <c r="W364" s="44" t="s">
        <v>121</v>
      </c>
      <c r="X364" s="45">
        <v>0</v>
      </c>
      <c r="Y364" s="46" t="s">
        <v>708</v>
      </c>
      <c r="Z364" s="48" t="s">
        <v>120</v>
      </c>
      <c r="AA364" s="48"/>
      <c r="AB364" s="48"/>
      <c r="AC364" s="26"/>
      <c r="AD364" s="48"/>
      <c r="AE364" s="48"/>
      <c r="AF364" s="48"/>
      <c r="AG364" s="45"/>
      <c r="AH364" s="50">
        <f>U364+AG364</f>
        <v>0</v>
      </c>
      <c r="AI364" s="48"/>
      <c r="AJ364" s="48"/>
      <c r="AK364" s="48"/>
      <c r="AL364" s="42"/>
      <c r="AM364" s="48"/>
      <c r="AN364" s="48"/>
      <c r="AO364" s="38"/>
      <c r="AP364" s="38"/>
      <c r="AQ364" s="38"/>
      <c r="AR364" s="38"/>
      <c r="AS364" s="38"/>
      <c r="AT364" s="51"/>
      <c r="AU364" s="52"/>
      <c r="AV364" s="38"/>
      <c r="AW364" s="41" t="s">
        <v>2644</v>
      </c>
      <c r="AX364" s="54" t="s">
        <v>57</v>
      </c>
      <c r="AY364" s="54" t="s">
        <v>2645</v>
      </c>
    </row>
    <row r="365" spans="2:51" s="37" customFormat="1" ht="25.5" x14ac:dyDescent="0.25">
      <c r="B365" s="38">
        <v>364</v>
      </c>
      <c r="C365" s="39">
        <v>2023</v>
      </c>
      <c r="D365" s="40" t="s">
        <v>2708</v>
      </c>
      <c r="E365" s="41" t="s">
        <v>324</v>
      </c>
      <c r="F365" s="40" t="s">
        <v>97</v>
      </c>
      <c r="G365" s="40" t="s">
        <v>98</v>
      </c>
      <c r="H365" s="41" t="s">
        <v>2709</v>
      </c>
      <c r="I365" s="25" t="s">
        <v>2710</v>
      </c>
      <c r="J365" s="42" t="s">
        <v>2711</v>
      </c>
      <c r="K365" s="42" t="s">
        <v>2712</v>
      </c>
      <c r="L365" s="26">
        <v>800085523</v>
      </c>
      <c r="M365" s="43">
        <v>1208</v>
      </c>
      <c r="N365" s="44">
        <v>45105</v>
      </c>
      <c r="O365" s="45">
        <v>195951516</v>
      </c>
      <c r="P365" s="44">
        <v>45105</v>
      </c>
      <c r="Q365" s="61" t="s">
        <v>2713</v>
      </c>
      <c r="R365" s="46">
        <v>45114</v>
      </c>
      <c r="S365" s="45" t="s">
        <v>2400</v>
      </c>
      <c r="T365" s="46">
        <v>45139</v>
      </c>
      <c r="U365" s="45">
        <v>195951516</v>
      </c>
      <c r="V365" s="57">
        <v>1222</v>
      </c>
      <c r="W365" s="44">
        <v>45105</v>
      </c>
      <c r="X365" s="45">
        <v>195951516</v>
      </c>
      <c r="Y365" s="46">
        <v>45321</v>
      </c>
      <c r="Z365" s="48" t="s">
        <v>120</v>
      </c>
      <c r="AA365" s="48"/>
      <c r="AB365" s="48"/>
      <c r="AC365" s="26"/>
      <c r="AD365" s="48"/>
      <c r="AE365" s="48"/>
      <c r="AF365" s="48"/>
      <c r="AG365" s="45"/>
      <c r="AH365" s="50">
        <f>U365+AG365</f>
        <v>195951516</v>
      </c>
      <c r="AI365" s="48"/>
      <c r="AJ365" s="48"/>
      <c r="AK365" s="48"/>
      <c r="AL365" s="42"/>
      <c r="AM365" s="48"/>
      <c r="AN365" s="48"/>
      <c r="AO365" s="38"/>
      <c r="AP365" s="38"/>
      <c r="AQ365" s="38"/>
      <c r="AR365" s="38"/>
      <c r="AS365" s="38"/>
      <c r="AT365" s="51"/>
      <c r="AU365" s="52"/>
      <c r="AV365" s="38"/>
      <c r="AW365" s="41" t="s">
        <v>56</v>
      </c>
      <c r="AX365" s="54" t="s">
        <v>529</v>
      </c>
      <c r="AY365" s="54">
        <v>20235920007713</v>
      </c>
    </row>
    <row r="366" spans="2:51" s="37" customFormat="1" ht="15" customHeight="1" x14ac:dyDescent="0.25">
      <c r="B366" s="38">
        <v>365</v>
      </c>
      <c r="C366" s="39">
        <v>2023</v>
      </c>
      <c r="D366" s="40" t="s">
        <v>38</v>
      </c>
      <c r="E366" s="41" t="s">
        <v>96</v>
      </c>
      <c r="F366" s="40" t="s">
        <v>97</v>
      </c>
      <c r="G366" s="40" t="s">
        <v>2636</v>
      </c>
      <c r="H366" s="41" t="s">
        <v>2714</v>
      </c>
      <c r="I366" s="25" t="s">
        <v>2715</v>
      </c>
      <c r="J366" s="42" t="s">
        <v>2686</v>
      </c>
      <c r="K366" s="42" t="s">
        <v>39</v>
      </c>
      <c r="L366" s="26">
        <v>830057646</v>
      </c>
      <c r="M366" s="43" t="s">
        <v>121</v>
      </c>
      <c r="N366" s="44" t="s">
        <v>121</v>
      </c>
      <c r="O366" s="45">
        <v>0</v>
      </c>
      <c r="P366" s="44">
        <v>45105</v>
      </c>
      <c r="Q366" s="43" t="s">
        <v>2716</v>
      </c>
      <c r="R366" s="46">
        <v>45205</v>
      </c>
      <c r="S366" s="45" t="s">
        <v>2641</v>
      </c>
      <c r="T366" s="46">
        <v>45205</v>
      </c>
      <c r="U366" s="45">
        <v>0</v>
      </c>
      <c r="V366" s="43" t="s">
        <v>121</v>
      </c>
      <c r="W366" s="44" t="s">
        <v>121</v>
      </c>
      <c r="X366" s="45">
        <v>0</v>
      </c>
      <c r="Y366" s="46">
        <v>47031</v>
      </c>
      <c r="Z366" s="48" t="s">
        <v>120</v>
      </c>
      <c r="AA366" s="48"/>
      <c r="AB366" s="48"/>
      <c r="AC366" s="26"/>
      <c r="AD366" s="48"/>
      <c r="AE366" s="48"/>
      <c r="AF366" s="48"/>
      <c r="AG366" s="45"/>
      <c r="AH366" s="50">
        <f>U366+AG366</f>
        <v>0</v>
      </c>
      <c r="AI366" s="48"/>
      <c r="AJ366" s="48"/>
      <c r="AK366" s="48"/>
      <c r="AL366" s="42"/>
      <c r="AM366" s="48"/>
      <c r="AN366" s="48"/>
      <c r="AO366" s="38"/>
      <c r="AP366" s="38"/>
      <c r="AQ366" s="38"/>
      <c r="AR366" s="38"/>
      <c r="AS366" s="38"/>
      <c r="AT366" s="51"/>
      <c r="AU366" s="52"/>
      <c r="AV366" s="38"/>
      <c r="AW366" s="41" t="s">
        <v>56</v>
      </c>
      <c r="AX366" s="54" t="s">
        <v>57</v>
      </c>
      <c r="AY366" s="54">
        <v>20235920009783</v>
      </c>
    </row>
    <row r="367" spans="2:51" s="37" customFormat="1" ht="15" x14ac:dyDescent="0.25">
      <c r="B367" s="38">
        <v>366</v>
      </c>
      <c r="C367" s="39">
        <v>2023</v>
      </c>
      <c r="D367" s="40" t="s">
        <v>40</v>
      </c>
      <c r="E367" s="41" t="s">
        <v>199</v>
      </c>
      <c r="F367" s="40" t="s">
        <v>97</v>
      </c>
      <c r="G367" s="40" t="s">
        <v>2636</v>
      </c>
      <c r="H367" s="41" t="s">
        <v>2717</v>
      </c>
      <c r="I367" s="25" t="s">
        <v>2718</v>
      </c>
      <c r="J367" s="42" t="s">
        <v>2719</v>
      </c>
      <c r="K367" s="42" t="s">
        <v>41</v>
      </c>
      <c r="L367" s="26">
        <v>900282087</v>
      </c>
      <c r="M367" s="43" t="s">
        <v>121</v>
      </c>
      <c r="N367" s="44" t="s">
        <v>121</v>
      </c>
      <c r="O367" s="45">
        <v>0</v>
      </c>
      <c r="P367" s="44">
        <v>45105</v>
      </c>
      <c r="Q367" s="43" t="s">
        <v>2720</v>
      </c>
      <c r="R367" s="46">
        <v>45153</v>
      </c>
      <c r="S367" s="45" t="s">
        <v>2641</v>
      </c>
      <c r="T367" s="46">
        <v>45153</v>
      </c>
      <c r="U367" s="45">
        <v>0</v>
      </c>
      <c r="V367" s="43" t="s">
        <v>121</v>
      </c>
      <c r="W367" s="44" t="s">
        <v>121</v>
      </c>
      <c r="X367" s="45">
        <v>0</v>
      </c>
      <c r="Y367" s="46">
        <v>46979</v>
      </c>
      <c r="Z367" s="48" t="s">
        <v>120</v>
      </c>
      <c r="AA367" s="48"/>
      <c r="AB367" s="48"/>
      <c r="AC367" s="26"/>
      <c r="AD367" s="48"/>
      <c r="AE367" s="48"/>
      <c r="AF367" s="48"/>
      <c r="AG367" s="45"/>
      <c r="AH367" s="50">
        <f>U367+AG367</f>
        <v>0</v>
      </c>
      <c r="AI367" s="48"/>
      <c r="AJ367" s="48"/>
      <c r="AK367" s="48"/>
      <c r="AL367" s="42"/>
      <c r="AM367" s="48"/>
      <c r="AN367" s="48"/>
      <c r="AO367" s="38"/>
      <c r="AP367" s="38"/>
      <c r="AQ367" s="38"/>
      <c r="AR367" s="38"/>
      <c r="AS367" s="38"/>
      <c r="AT367" s="51"/>
      <c r="AU367" s="52"/>
      <c r="AV367" s="38"/>
      <c r="AW367" s="41" t="s">
        <v>56</v>
      </c>
      <c r="AX367" s="54" t="s">
        <v>57</v>
      </c>
      <c r="AY367" s="54">
        <v>20235920007933</v>
      </c>
    </row>
    <row r="368" spans="2:51" s="37" customFormat="1" ht="27.75" customHeight="1" x14ac:dyDescent="0.25">
      <c r="B368" s="38">
        <v>367</v>
      </c>
      <c r="C368" s="39">
        <v>2023</v>
      </c>
      <c r="D368" s="40" t="s">
        <v>42</v>
      </c>
      <c r="E368" s="41" t="s">
        <v>113</v>
      </c>
      <c r="F368" s="40" t="s">
        <v>97</v>
      </c>
      <c r="G368" s="40" t="s">
        <v>2636</v>
      </c>
      <c r="H368" s="41" t="s">
        <v>2721</v>
      </c>
      <c r="I368" s="25" t="s">
        <v>2722</v>
      </c>
      <c r="J368" s="62" t="s">
        <v>2683</v>
      </c>
      <c r="K368" s="42" t="s">
        <v>43</v>
      </c>
      <c r="L368" s="26">
        <v>900145549</v>
      </c>
      <c r="M368" s="43" t="s">
        <v>121</v>
      </c>
      <c r="N368" s="44" t="s">
        <v>121</v>
      </c>
      <c r="O368" s="45">
        <v>0</v>
      </c>
      <c r="P368" s="44">
        <v>45105</v>
      </c>
      <c r="Q368" s="43" t="s">
        <v>2723</v>
      </c>
      <c r="R368" s="46">
        <v>45135</v>
      </c>
      <c r="S368" s="45" t="s">
        <v>2641</v>
      </c>
      <c r="T368" s="46">
        <v>45135</v>
      </c>
      <c r="U368" s="45">
        <v>0</v>
      </c>
      <c r="V368" s="43" t="s">
        <v>121</v>
      </c>
      <c r="W368" s="44" t="s">
        <v>121</v>
      </c>
      <c r="X368" s="45">
        <v>0</v>
      </c>
      <c r="Y368" s="46">
        <v>46961</v>
      </c>
      <c r="Z368" s="48" t="s">
        <v>120</v>
      </c>
      <c r="AA368" s="48"/>
      <c r="AB368" s="48"/>
      <c r="AC368" s="26"/>
      <c r="AD368" s="48"/>
      <c r="AE368" s="48"/>
      <c r="AF368" s="48"/>
      <c r="AG368" s="45"/>
      <c r="AH368" s="50">
        <f>U368+AG368</f>
        <v>0</v>
      </c>
      <c r="AI368" s="48"/>
      <c r="AJ368" s="48"/>
      <c r="AK368" s="48"/>
      <c r="AL368" s="42"/>
      <c r="AM368" s="48"/>
      <c r="AN368" s="48"/>
      <c r="AO368" s="38"/>
      <c r="AP368" s="38"/>
      <c r="AQ368" s="38"/>
      <c r="AR368" s="38"/>
      <c r="AS368" s="38"/>
      <c r="AT368" s="51"/>
      <c r="AU368" s="52"/>
      <c r="AV368" s="38"/>
      <c r="AW368" s="41" t="s">
        <v>56</v>
      </c>
      <c r="AX368" s="54" t="s">
        <v>57</v>
      </c>
      <c r="AY368" s="54">
        <v>20235920008293</v>
      </c>
    </row>
    <row r="369" spans="2:51" s="37" customFormat="1" ht="15" x14ac:dyDescent="0.25">
      <c r="B369" s="38">
        <v>368</v>
      </c>
      <c r="C369" s="39">
        <v>2023</v>
      </c>
      <c r="D369" s="40" t="s">
        <v>44</v>
      </c>
      <c r="E369" s="41" t="s">
        <v>113</v>
      </c>
      <c r="F369" s="40" t="s">
        <v>97</v>
      </c>
      <c r="G369" s="40" t="s">
        <v>2636</v>
      </c>
      <c r="H369" s="41" t="s">
        <v>2724</v>
      </c>
      <c r="I369" s="25" t="s">
        <v>2725</v>
      </c>
      <c r="J369" s="42" t="s">
        <v>2648</v>
      </c>
      <c r="K369" s="42" t="s">
        <v>45</v>
      </c>
      <c r="L369" s="26">
        <v>830063499</v>
      </c>
      <c r="M369" s="43" t="s">
        <v>121</v>
      </c>
      <c r="N369" s="44" t="s">
        <v>121</v>
      </c>
      <c r="O369" s="45">
        <v>0</v>
      </c>
      <c r="P369" s="44">
        <v>45105</v>
      </c>
      <c r="Q369" s="43" t="s">
        <v>2726</v>
      </c>
      <c r="R369" s="46">
        <v>45140</v>
      </c>
      <c r="S369" s="45" t="s">
        <v>2641</v>
      </c>
      <c r="T369" s="46">
        <v>45140</v>
      </c>
      <c r="U369" s="45">
        <v>0</v>
      </c>
      <c r="V369" s="43" t="s">
        <v>121</v>
      </c>
      <c r="W369" s="44" t="s">
        <v>121</v>
      </c>
      <c r="X369" s="45">
        <v>0</v>
      </c>
      <c r="Y369" s="46">
        <v>46966</v>
      </c>
      <c r="Z369" s="48" t="s">
        <v>120</v>
      </c>
      <c r="AA369" s="48"/>
      <c r="AB369" s="48"/>
      <c r="AC369" s="26"/>
      <c r="AD369" s="48"/>
      <c r="AE369" s="48"/>
      <c r="AF369" s="48"/>
      <c r="AG369" s="45"/>
      <c r="AH369" s="50">
        <f>U369+AG369</f>
        <v>0</v>
      </c>
      <c r="AI369" s="48"/>
      <c r="AJ369" s="48"/>
      <c r="AK369" s="48"/>
      <c r="AL369" s="42"/>
      <c r="AM369" s="48"/>
      <c r="AN369" s="48"/>
      <c r="AO369" s="38"/>
      <c r="AP369" s="38"/>
      <c r="AQ369" s="38"/>
      <c r="AR369" s="38"/>
      <c r="AS369" s="38"/>
      <c r="AT369" s="51"/>
      <c r="AU369" s="52"/>
      <c r="AV369" s="38"/>
      <c r="AW369" s="41" t="s">
        <v>56</v>
      </c>
      <c r="AX369" s="54" t="s">
        <v>57</v>
      </c>
      <c r="AY369" s="54">
        <v>20235920007933</v>
      </c>
    </row>
    <row r="370" spans="2:51" s="37" customFormat="1" ht="15" customHeight="1" x14ac:dyDescent="0.25">
      <c r="B370" s="38">
        <v>369</v>
      </c>
      <c r="C370" s="39">
        <v>2023</v>
      </c>
      <c r="D370" s="40" t="s">
        <v>46</v>
      </c>
      <c r="E370" s="41" t="s">
        <v>153</v>
      </c>
      <c r="F370" s="40" t="s">
        <v>97</v>
      </c>
      <c r="G370" s="40" t="s">
        <v>2636</v>
      </c>
      <c r="H370" s="41" t="s">
        <v>2727</v>
      </c>
      <c r="I370" s="25" t="s">
        <v>2728</v>
      </c>
      <c r="J370" s="42" t="s">
        <v>2648</v>
      </c>
      <c r="K370" s="42" t="s">
        <v>47</v>
      </c>
      <c r="L370" s="26">
        <v>800045069</v>
      </c>
      <c r="M370" s="43" t="s">
        <v>121</v>
      </c>
      <c r="N370" s="44" t="s">
        <v>121</v>
      </c>
      <c r="O370" s="45">
        <v>0</v>
      </c>
      <c r="P370" s="44">
        <v>45105</v>
      </c>
      <c r="Q370" s="43" t="s">
        <v>2729</v>
      </c>
      <c r="R370" s="46">
        <v>45229</v>
      </c>
      <c r="S370" s="45" t="s">
        <v>2641</v>
      </c>
      <c r="T370" s="46">
        <v>45229</v>
      </c>
      <c r="U370" s="45">
        <v>0</v>
      </c>
      <c r="V370" s="43" t="s">
        <v>121</v>
      </c>
      <c r="W370" s="44" t="s">
        <v>121</v>
      </c>
      <c r="X370" s="45">
        <v>0</v>
      </c>
      <c r="Y370" s="46">
        <v>47055</v>
      </c>
      <c r="Z370" s="48" t="s">
        <v>120</v>
      </c>
      <c r="AA370" s="48"/>
      <c r="AB370" s="48"/>
      <c r="AC370" s="26"/>
      <c r="AD370" s="48"/>
      <c r="AE370" s="48"/>
      <c r="AF370" s="48"/>
      <c r="AG370" s="45"/>
      <c r="AH370" s="50">
        <f>U370+AG370</f>
        <v>0</v>
      </c>
      <c r="AI370" s="48"/>
      <c r="AJ370" s="48"/>
      <c r="AK370" s="48"/>
      <c r="AL370" s="42"/>
      <c r="AM370" s="48"/>
      <c r="AN370" s="48"/>
      <c r="AO370" s="38"/>
      <c r="AP370" s="38"/>
      <c r="AQ370" s="38"/>
      <c r="AR370" s="38"/>
      <c r="AS370" s="38"/>
      <c r="AT370" s="51"/>
      <c r="AU370" s="52"/>
      <c r="AV370" s="38"/>
      <c r="AW370" s="41" t="s">
        <v>56</v>
      </c>
      <c r="AX370" s="54" t="s">
        <v>57</v>
      </c>
      <c r="AY370" s="63">
        <v>20235920010333</v>
      </c>
    </row>
    <row r="371" spans="2:51" s="37" customFormat="1" ht="15" customHeight="1" x14ac:dyDescent="0.25">
      <c r="B371" s="38">
        <v>370</v>
      </c>
      <c r="C371" s="39">
        <v>2023</v>
      </c>
      <c r="D371" s="40" t="s">
        <v>48</v>
      </c>
      <c r="E371" s="41" t="s">
        <v>518</v>
      </c>
      <c r="F371" s="40" t="s">
        <v>97</v>
      </c>
      <c r="G371" s="40" t="s">
        <v>2636</v>
      </c>
      <c r="H371" s="41" t="s">
        <v>2730</v>
      </c>
      <c r="I371" s="25" t="s">
        <v>2731</v>
      </c>
      <c r="J371" s="42" t="s">
        <v>2648</v>
      </c>
      <c r="K371" s="42" t="s">
        <v>49</v>
      </c>
      <c r="L371" s="26">
        <v>901711819</v>
      </c>
      <c r="M371" s="43" t="s">
        <v>121</v>
      </c>
      <c r="N371" s="44" t="s">
        <v>121</v>
      </c>
      <c r="O371" s="45">
        <v>0</v>
      </c>
      <c r="P371" s="44">
        <v>45105</v>
      </c>
      <c r="Q371" s="43" t="s">
        <v>2732</v>
      </c>
      <c r="R371" s="46">
        <v>45198</v>
      </c>
      <c r="S371" s="45" t="s">
        <v>2641</v>
      </c>
      <c r="T371" s="46">
        <v>45198</v>
      </c>
      <c r="U371" s="45">
        <v>0</v>
      </c>
      <c r="V371" s="43" t="s">
        <v>121</v>
      </c>
      <c r="W371" s="44" t="s">
        <v>121</v>
      </c>
      <c r="X371" s="45">
        <v>0</v>
      </c>
      <c r="Y371" s="46">
        <v>47024</v>
      </c>
      <c r="Z371" s="48" t="s">
        <v>120</v>
      </c>
      <c r="AA371" s="48"/>
      <c r="AB371" s="48"/>
      <c r="AC371" s="26"/>
      <c r="AD371" s="48"/>
      <c r="AE371" s="48"/>
      <c r="AF371" s="48"/>
      <c r="AG371" s="45"/>
      <c r="AH371" s="50">
        <f>U371+AG371</f>
        <v>0</v>
      </c>
      <c r="AI371" s="48"/>
      <c r="AJ371" s="48"/>
      <c r="AK371" s="48"/>
      <c r="AL371" s="42"/>
      <c r="AM371" s="48"/>
      <c r="AN371" s="48"/>
      <c r="AO371" s="38"/>
      <c r="AP371" s="38"/>
      <c r="AQ371" s="38"/>
      <c r="AR371" s="38"/>
      <c r="AS371" s="38"/>
      <c r="AT371" s="51"/>
      <c r="AU371" s="52"/>
      <c r="AV371" s="38"/>
      <c r="AW371" s="41" t="s">
        <v>56</v>
      </c>
      <c r="AX371" s="54" t="s">
        <v>57</v>
      </c>
      <c r="AY371" s="54">
        <v>20235920009783</v>
      </c>
    </row>
    <row r="372" spans="2:51" s="37" customFormat="1" ht="18.75" customHeight="1" x14ac:dyDescent="0.25">
      <c r="B372" s="38">
        <v>371</v>
      </c>
      <c r="C372" s="39">
        <v>2023</v>
      </c>
      <c r="D372" s="40" t="s">
        <v>50</v>
      </c>
      <c r="E372" s="41" t="s">
        <v>518</v>
      </c>
      <c r="F372" s="40" t="s">
        <v>97</v>
      </c>
      <c r="G372" s="40" t="s">
        <v>2636</v>
      </c>
      <c r="H372" s="41" t="s">
        <v>2733</v>
      </c>
      <c r="I372" s="25" t="s">
        <v>2734</v>
      </c>
      <c r="J372" s="42" t="s">
        <v>2648</v>
      </c>
      <c r="K372" s="42" t="s">
        <v>51</v>
      </c>
      <c r="L372" s="26">
        <v>800085523</v>
      </c>
      <c r="M372" s="43" t="s">
        <v>121</v>
      </c>
      <c r="N372" s="44" t="s">
        <v>121</v>
      </c>
      <c r="O372" s="45">
        <v>0</v>
      </c>
      <c r="P372" s="44">
        <v>45105</v>
      </c>
      <c r="Q372" s="43" t="s">
        <v>2735</v>
      </c>
      <c r="R372" s="46">
        <v>45209</v>
      </c>
      <c r="S372" s="45" t="s">
        <v>2641</v>
      </c>
      <c r="T372" s="46">
        <v>45208</v>
      </c>
      <c r="U372" s="45">
        <v>0</v>
      </c>
      <c r="V372" s="43" t="s">
        <v>121</v>
      </c>
      <c r="W372" s="44" t="s">
        <v>121</v>
      </c>
      <c r="X372" s="45">
        <v>0</v>
      </c>
      <c r="Y372" s="46">
        <v>47034</v>
      </c>
      <c r="Z372" s="48" t="s">
        <v>120</v>
      </c>
      <c r="AA372" s="48"/>
      <c r="AB372" s="48"/>
      <c r="AC372" s="26"/>
      <c r="AD372" s="48"/>
      <c r="AE372" s="48"/>
      <c r="AF372" s="48"/>
      <c r="AG372" s="45"/>
      <c r="AH372" s="50">
        <f>U372+AG372</f>
        <v>0</v>
      </c>
      <c r="AI372" s="48"/>
      <c r="AJ372" s="48"/>
      <c r="AK372" s="48"/>
      <c r="AL372" s="42"/>
      <c r="AM372" s="48"/>
      <c r="AN372" s="48"/>
      <c r="AO372" s="38"/>
      <c r="AP372" s="38"/>
      <c r="AQ372" s="38"/>
      <c r="AR372" s="38"/>
      <c r="AS372" s="38"/>
      <c r="AT372" s="51"/>
      <c r="AU372" s="52"/>
      <c r="AV372" s="38"/>
      <c r="AW372" s="41" t="s">
        <v>56</v>
      </c>
      <c r="AX372" s="54" t="s">
        <v>57</v>
      </c>
      <c r="AY372" s="54">
        <v>20235920009783</v>
      </c>
    </row>
    <row r="373" spans="2:51" s="37" customFormat="1" ht="15" customHeight="1" x14ac:dyDescent="0.25">
      <c r="B373" s="38">
        <v>372</v>
      </c>
      <c r="C373" s="39">
        <v>2023</v>
      </c>
      <c r="D373" s="40" t="s">
        <v>52</v>
      </c>
      <c r="E373" s="41" t="s">
        <v>518</v>
      </c>
      <c r="F373" s="40" t="s">
        <v>97</v>
      </c>
      <c r="G373" s="40" t="s">
        <v>2636</v>
      </c>
      <c r="H373" s="41" t="s">
        <v>2736</v>
      </c>
      <c r="I373" s="25" t="s">
        <v>569</v>
      </c>
      <c r="J373" s="42" t="s">
        <v>2648</v>
      </c>
      <c r="K373" s="42" t="s">
        <v>53</v>
      </c>
      <c r="L373" s="26">
        <v>830108388</v>
      </c>
      <c r="M373" s="43" t="s">
        <v>121</v>
      </c>
      <c r="N373" s="44" t="s">
        <v>121</v>
      </c>
      <c r="O373" s="45">
        <v>0</v>
      </c>
      <c r="P373" s="44" t="s">
        <v>569</v>
      </c>
      <c r="Q373" s="43" t="s">
        <v>569</v>
      </c>
      <c r="R373" s="46" t="s">
        <v>569</v>
      </c>
      <c r="S373" s="45" t="s">
        <v>569</v>
      </c>
      <c r="T373" s="46" t="s">
        <v>569</v>
      </c>
      <c r="U373" s="45" t="s">
        <v>569</v>
      </c>
      <c r="V373" s="43" t="s">
        <v>121</v>
      </c>
      <c r="W373" s="44" t="s">
        <v>121</v>
      </c>
      <c r="X373" s="45" t="s">
        <v>569</v>
      </c>
      <c r="Y373" s="46" t="s">
        <v>569</v>
      </c>
      <c r="Z373" s="48" t="s">
        <v>120</v>
      </c>
      <c r="AA373" s="49" t="s">
        <v>121</v>
      </c>
      <c r="AB373" s="49" t="s">
        <v>121</v>
      </c>
      <c r="AC373" s="26" t="s">
        <v>121</v>
      </c>
      <c r="AD373" s="49" t="s">
        <v>121</v>
      </c>
      <c r="AE373" s="49" t="s">
        <v>121</v>
      </c>
      <c r="AF373" s="49" t="s">
        <v>121</v>
      </c>
      <c r="AG373" s="45" t="s">
        <v>121</v>
      </c>
      <c r="AH373" s="49" t="s">
        <v>121</v>
      </c>
      <c r="AI373" s="48" t="s">
        <v>121</v>
      </c>
      <c r="AJ373" s="49" t="s">
        <v>121</v>
      </c>
      <c r="AK373" s="49" t="s">
        <v>121</v>
      </c>
      <c r="AL373" s="42" t="s">
        <v>121</v>
      </c>
      <c r="AM373" s="48" t="s">
        <v>121</v>
      </c>
      <c r="AN373" s="48" t="s">
        <v>121</v>
      </c>
      <c r="AO373" s="49" t="s">
        <v>121</v>
      </c>
      <c r="AP373" s="49" t="s">
        <v>121</v>
      </c>
      <c r="AQ373" s="49" t="s">
        <v>121</v>
      </c>
      <c r="AR373" s="49" t="s">
        <v>121</v>
      </c>
      <c r="AS373" s="49" t="s">
        <v>121</v>
      </c>
      <c r="AT373" s="49" t="s">
        <v>121</v>
      </c>
      <c r="AU373" s="49" t="s">
        <v>121</v>
      </c>
      <c r="AV373" s="49" t="s">
        <v>121</v>
      </c>
      <c r="AW373" s="41" t="s">
        <v>569</v>
      </c>
      <c r="AX373" s="41" t="s">
        <v>569</v>
      </c>
      <c r="AY373" s="54" t="s">
        <v>569</v>
      </c>
    </row>
    <row r="374" spans="2:51" s="37" customFormat="1" ht="15" customHeight="1" x14ac:dyDescent="0.25">
      <c r="B374" s="38">
        <v>373</v>
      </c>
      <c r="C374" s="39">
        <v>2023</v>
      </c>
      <c r="D374" s="40" t="s">
        <v>54</v>
      </c>
      <c r="E374" s="41" t="s">
        <v>2010</v>
      </c>
      <c r="F374" s="40" t="s">
        <v>97</v>
      </c>
      <c r="G374" s="40" t="s">
        <v>2636</v>
      </c>
      <c r="H374" s="41" t="s">
        <v>2737</v>
      </c>
      <c r="I374" s="25" t="s">
        <v>2738</v>
      </c>
      <c r="J374" s="42" t="s">
        <v>2739</v>
      </c>
      <c r="K374" s="42" t="s">
        <v>55</v>
      </c>
      <c r="L374" s="26">
        <v>900002809</v>
      </c>
      <c r="M374" s="43" t="s">
        <v>121</v>
      </c>
      <c r="N374" s="44" t="s">
        <v>121</v>
      </c>
      <c r="O374" s="45">
        <v>0</v>
      </c>
      <c r="P374" s="44">
        <v>45105</v>
      </c>
      <c r="Q374" s="43" t="s">
        <v>2740</v>
      </c>
      <c r="R374" s="46">
        <v>45219</v>
      </c>
      <c r="S374" s="45" t="s">
        <v>2641</v>
      </c>
      <c r="T374" s="46">
        <v>45219</v>
      </c>
      <c r="U374" s="45">
        <v>0</v>
      </c>
      <c r="V374" s="43" t="s">
        <v>121</v>
      </c>
      <c r="W374" s="44" t="s">
        <v>121</v>
      </c>
      <c r="X374" s="45">
        <v>0</v>
      </c>
      <c r="Y374" s="46">
        <v>47045</v>
      </c>
      <c r="Z374" s="48" t="s">
        <v>120</v>
      </c>
      <c r="AA374" s="48"/>
      <c r="AB374" s="48"/>
      <c r="AC374" s="26"/>
      <c r="AD374" s="48"/>
      <c r="AE374" s="48"/>
      <c r="AF374" s="48"/>
      <c r="AG374" s="45"/>
      <c r="AH374" s="50">
        <f>U374+AG374</f>
        <v>0</v>
      </c>
      <c r="AI374" s="48"/>
      <c r="AJ374" s="48"/>
      <c r="AK374" s="48"/>
      <c r="AL374" s="42"/>
      <c r="AM374" s="48"/>
      <c r="AN374" s="48"/>
      <c r="AO374" s="38"/>
      <c r="AP374" s="38"/>
      <c r="AQ374" s="38"/>
      <c r="AR374" s="38"/>
      <c r="AS374" s="38"/>
      <c r="AT374" s="51"/>
      <c r="AU374" s="52"/>
      <c r="AV374" s="38"/>
      <c r="AW374" s="41" t="s">
        <v>56</v>
      </c>
      <c r="AX374" s="54" t="s">
        <v>57</v>
      </c>
      <c r="AY374" s="63">
        <v>20235920010333</v>
      </c>
    </row>
    <row r="375" spans="2:51" s="37" customFormat="1" ht="39" customHeight="1" x14ac:dyDescent="0.25">
      <c r="B375" s="38">
        <v>374</v>
      </c>
      <c r="C375" s="39">
        <v>2023</v>
      </c>
      <c r="D375" s="40" t="s">
        <v>2741</v>
      </c>
      <c r="E375" s="41" t="s">
        <v>324</v>
      </c>
      <c r="F375" s="40" t="s">
        <v>2309</v>
      </c>
      <c r="G375" s="40" t="s">
        <v>98</v>
      </c>
      <c r="H375" s="41" t="s">
        <v>2742</v>
      </c>
      <c r="I375" s="25" t="s">
        <v>2743</v>
      </c>
      <c r="J375" s="42" t="s">
        <v>2744</v>
      </c>
      <c r="K375" s="42" t="s">
        <v>2745</v>
      </c>
      <c r="L375" s="26">
        <v>830101446</v>
      </c>
      <c r="M375" s="43">
        <v>1168</v>
      </c>
      <c r="N375" s="44">
        <v>45106</v>
      </c>
      <c r="O375" s="45">
        <v>21100000</v>
      </c>
      <c r="P375" s="44">
        <v>45119</v>
      </c>
      <c r="Q375" s="61" t="s">
        <v>2746</v>
      </c>
      <c r="R375" s="46">
        <v>45120</v>
      </c>
      <c r="S375" s="45" t="s">
        <v>870</v>
      </c>
      <c r="T375" s="46">
        <v>45121</v>
      </c>
      <c r="U375" s="45">
        <v>9471900</v>
      </c>
      <c r="V375" s="43">
        <v>1224</v>
      </c>
      <c r="W375" s="44">
        <v>45120</v>
      </c>
      <c r="X375" s="45">
        <v>9741900</v>
      </c>
      <c r="Y375" s="46">
        <v>45425</v>
      </c>
      <c r="Z375" s="48" t="s">
        <v>120</v>
      </c>
      <c r="AA375" s="48"/>
      <c r="AB375" s="48"/>
      <c r="AC375" s="26"/>
      <c r="AD375" s="48"/>
      <c r="AE375" s="48"/>
      <c r="AF375" s="48"/>
      <c r="AG375" s="45"/>
      <c r="AH375" s="50">
        <f>U375+AG375</f>
        <v>9471900</v>
      </c>
      <c r="AI375" s="48"/>
      <c r="AJ375" s="48"/>
      <c r="AK375" s="48"/>
      <c r="AL375" s="42"/>
      <c r="AM375" s="48"/>
      <c r="AN375" s="48"/>
      <c r="AO375" s="38"/>
      <c r="AP375" s="38"/>
      <c r="AQ375" s="38"/>
      <c r="AR375" s="38"/>
      <c r="AS375" s="38"/>
      <c r="AT375" s="51"/>
      <c r="AU375" s="52"/>
      <c r="AV375" s="38"/>
      <c r="AW375" s="41" t="s">
        <v>56</v>
      </c>
      <c r="AX375" s="54" t="s">
        <v>271</v>
      </c>
      <c r="AY375" s="54">
        <v>20235920007483</v>
      </c>
    </row>
    <row r="376" spans="2:51" s="37" customFormat="1" ht="27.75" customHeight="1" x14ac:dyDescent="0.25">
      <c r="B376" s="38">
        <v>375</v>
      </c>
      <c r="C376" s="39">
        <v>2023</v>
      </c>
      <c r="D376" s="41" t="s">
        <v>2747</v>
      </c>
      <c r="E376" s="41" t="s">
        <v>153</v>
      </c>
      <c r="F376" s="40" t="s">
        <v>97</v>
      </c>
      <c r="G376" s="40" t="s">
        <v>2020</v>
      </c>
      <c r="H376" s="41" t="s">
        <v>2748</v>
      </c>
      <c r="I376" s="25" t="s">
        <v>2749</v>
      </c>
      <c r="J376" s="42" t="s">
        <v>2750</v>
      </c>
      <c r="K376" s="42" t="s">
        <v>2751</v>
      </c>
      <c r="L376" s="26">
        <v>899999061</v>
      </c>
      <c r="M376" s="43">
        <v>1205</v>
      </c>
      <c r="N376" s="44">
        <v>45098</v>
      </c>
      <c r="O376" s="45">
        <v>4081948000</v>
      </c>
      <c r="P376" s="44">
        <v>45105</v>
      </c>
      <c r="Q376" s="43" t="s">
        <v>121</v>
      </c>
      <c r="R376" s="46" t="s">
        <v>121</v>
      </c>
      <c r="S376" s="45" t="s">
        <v>2752</v>
      </c>
      <c r="T376" s="46">
        <v>45107</v>
      </c>
      <c r="U376" s="45">
        <v>4081948000</v>
      </c>
      <c r="V376" s="43">
        <v>1212</v>
      </c>
      <c r="W376" s="44">
        <v>45105</v>
      </c>
      <c r="X376" s="45">
        <v>4081948000</v>
      </c>
      <c r="Y376" s="46">
        <v>45291</v>
      </c>
      <c r="Z376" s="48" t="s">
        <v>120</v>
      </c>
      <c r="AA376" s="48"/>
      <c r="AB376" s="48"/>
      <c r="AC376" s="26"/>
      <c r="AD376" s="48"/>
      <c r="AE376" s="48"/>
      <c r="AF376" s="48"/>
      <c r="AG376" s="45"/>
      <c r="AH376" s="50">
        <f>U376+AG376</f>
        <v>4081948000</v>
      </c>
      <c r="AI376" s="48"/>
      <c r="AJ376" s="48"/>
      <c r="AK376" s="48"/>
      <c r="AL376" s="42"/>
      <c r="AM376" s="48"/>
      <c r="AN376" s="48"/>
      <c r="AO376" s="38"/>
      <c r="AP376" s="38"/>
      <c r="AQ376" s="38"/>
      <c r="AR376" s="38"/>
      <c r="AS376" s="38"/>
      <c r="AT376" s="51"/>
      <c r="AU376" s="52"/>
      <c r="AV376" s="38"/>
      <c r="AW376" s="41" t="s">
        <v>56</v>
      </c>
      <c r="AX376" s="54" t="s">
        <v>238</v>
      </c>
      <c r="AY376" s="54">
        <v>20235920007003</v>
      </c>
    </row>
    <row r="377" spans="2:51" s="37" customFormat="1" ht="27.75" customHeight="1" x14ac:dyDescent="0.25">
      <c r="B377" s="38">
        <v>376</v>
      </c>
      <c r="C377" s="39">
        <v>2023</v>
      </c>
      <c r="D377" s="41" t="s">
        <v>2753</v>
      </c>
      <c r="E377" s="41" t="s">
        <v>324</v>
      </c>
      <c r="F377" s="40" t="s">
        <v>2309</v>
      </c>
      <c r="G377" s="40" t="s">
        <v>98</v>
      </c>
      <c r="H377" s="41" t="s">
        <v>2754</v>
      </c>
      <c r="I377" s="25" t="s">
        <v>2755</v>
      </c>
      <c r="J377" s="42" t="s">
        <v>2756</v>
      </c>
      <c r="K377" s="42" t="s">
        <v>2757</v>
      </c>
      <c r="L377" s="26">
        <v>830080652</v>
      </c>
      <c r="M377" s="43">
        <v>1177</v>
      </c>
      <c r="N377" s="44">
        <v>45082</v>
      </c>
      <c r="O377" s="45">
        <v>7400000</v>
      </c>
      <c r="P377" s="44">
        <v>45128</v>
      </c>
      <c r="Q377" s="61" t="s">
        <v>2758</v>
      </c>
      <c r="R377" s="46">
        <v>45131</v>
      </c>
      <c r="S377" s="45" t="s">
        <v>2759</v>
      </c>
      <c r="T377" s="46">
        <v>45132</v>
      </c>
      <c r="U377" s="45">
        <v>6529590</v>
      </c>
      <c r="V377" s="43">
        <v>1231</v>
      </c>
      <c r="W377" s="44">
        <v>45128</v>
      </c>
      <c r="X377" s="45">
        <v>6529590</v>
      </c>
      <c r="Y377" s="46">
        <v>45162</v>
      </c>
      <c r="Z377" s="48" t="s">
        <v>120</v>
      </c>
      <c r="AA377" s="48" t="s">
        <v>121</v>
      </c>
      <c r="AB377" s="48" t="s">
        <v>121</v>
      </c>
      <c r="AC377" s="26" t="s">
        <v>121</v>
      </c>
      <c r="AD377" s="48" t="s">
        <v>121</v>
      </c>
      <c r="AE377" s="48" t="s">
        <v>121</v>
      </c>
      <c r="AF377" s="48" t="s">
        <v>121</v>
      </c>
      <c r="AG377" s="56" t="s">
        <v>121</v>
      </c>
      <c r="AH377" s="50" t="s">
        <v>121</v>
      </c>
      <c r="AI377" s="48" t="s">
        <v>121</v>
      </c>
      <c r="AJ377" s="39" t="s">
        <v>121</v>
      </c>
      <c r="AK377" s="39" t="s">
        <v>121</v>
      </c>
      <c r="AL377" s="39" t="s">
        <v>121</v>
      </c>
      <c r="AM377" s="39" t="s">
        <v>121</v>
      </c>
      <c r="AN377" s="39" t="s">
        <v>121</v>
      </c>
      <c r="AO377" s="39" t="s">
        <v>121</v>
      </c>
      <c r="AP377" s="39" t="s">
        <v>121</v>
      </c>
      <c r="AQ377" s="39" t="s">
        <v>121</v>
      </c>
      <c r="AR377" s="39" t="s">
        <v>121</v>
      </c>
      <c r="AS377" s="39" t="s">
        <v>121</v>
      </c>
      <c r="AT377" s="39" t="s">
        <v>121</v>
      </c>
      <c r="AU377" s="58" t="s">
        <v>121</v>
      </c>
      <c r="AV377" s="38" t="s">
        <v>121</v>
      </c>
      <c r="AW377" s="41" t="s">
        <v>122</v>
      </c>
      <c r="AX377" s="40" t="s">
        <v>271</v>
      </c>
      <c r="AY377" s="54">
        <v>20235920007673</v>
      </c>
    </row>
    <row r="378" spans="2:51" s="37" customFormat="1" ht="15" customHeight="1" x14ac:dyDescent="0.25">
      <c r="B378" s="38">
        <v>377</v>
      </c>
      <c r="C378" s="39">
        <v>2023</v>
      </c>
      <c r="D378" s="40" t="s">
        <v>2760</v>
      </c>
      <c r="E378" s="41" t="s">
        <v>96</v>
      </c>
      <c r="F378" s="40" t="s">
        <v>2761</v>
      </c>
      <c r="G378" s="40" t="s">
        <v>2762</v>
      </c>
      <c r="H378" s="41" t="s">
        <v>2763</v>
      </c>
      <c r="I378" s="25" t="s">
        <v>2764</v>
      </c>
      <c r="J378" s="42" t="s">
        <v>2765</v>
      </c>
      <c r="K378" s="42" t="s">
        <v>2766</v>
      </c>
      <c r="L378" s="26">
        <v>900995679</v>
      </c>
      <c r="M378" s="43">
        <v>1170</v>
      </c>
      <c r="N378" s="44">
        <v>45076</v>
      </c>
      <c r="O378" s="45">
        <v>511774000</v>
      </c>
      <c r="P378" s="44">
        <v>45121</v>
      </c>
      <c r="Q378" s="43" t="s">
        <v>2767</v>
      </c>
      <c r="R378" s="46">
        <v>45125</v>
      </c>
      <c r="S378" s="45" t="s">
        <v>2768</v>
      </c>
      <c r="T378" s="46">
        <v>45132</v>
      </c>
      <c r="U378" s="45">
        <v>492813684</v>
      </c>
      <c r="V378" s="43">
        <v>1228</v>
      </c>
      <c r="W378" s="44">
        <v>45125</v>
      </c>
      <c r="X378" s="45">
        <v>492813684</v>
      </c>
      <c r="Y378" s="46">
        <v>45330</v>
      </c>
      <c r="Z378" s="48" t="s">
        <v>120</v>
      </c>
      <c r="AA378" s="49"/>
      <c r="AB378" s="49"/>
      <c r="AC378" s="26"/>
      <c r="AD378" s="49"/>
      <c r="AE378" s="49"/>
      <c r="AF378" s="49"/>
      <c r="AG378" s="45"/>
      <c r="AH378" s="50">
        <f>U378+AG378</f>
        <v>492813684</v>
      </c>
      <c r="AI378" s="48"/>
      <c r="AJ378" s="49"/>
      <c r="AK378" s="49"/>
      <c r="AL378" s="42"/>
      <c r="AM378" s="48"/>
      <c r="AN378" s="48"/>
      <c r="AO378" s="49"/>
      <c r="AP378" s="49"/>
      <c r="AQ378" s="49"/>
      <c r="AR378" s="49"/>
      <c r="AS378" s="49"/>
      <c r="AT378" s="49"/>
      <c r="AU378" s="49"/>
      <c r="AV378" s="49"/>
      <c r="AW378" s="41" t="s">
        <v>56</v>
      </c>
      <c r="AX378" s="54" t="s">
        <v>1448</v>
      </c>
      <c r="AY378" s="54">
        <v>20235920007633</v>
      </c>
    </row>
    <row r="379" spans="2:51" s="37" customFormat="1" ht="15" x14ac:dyDescent="0.25">
      <c r="B379" s="38">
        <v>378</v>
      </c>
      <c r="C379" s="39">
        <v>2023</v>
      </c>
      <c r="D379" s="40" t="s">
        <v>2769</v>
      </c>
      <c r="E379" s="41" t="s">
        <v>96</v>
      </c>
      <c r="F379" s="40" t="s">
        <v>2761</v>
      </c>
      <c r="G379" s="40" t="s">
        <v>2762</v>
      </c>
      <c r="H379" s="41" t="s">
        <v>2763</v>
      </c>
      <c r="I379" s="25" t="s">
        <v>2764</v>
      </c>
      <c r="J379" s="42" t="s">
        <v>2770</v>
      </c>
      <c r="K379" s="42" t="s">
        <v>2771</v>
      </c>
      <c r="L379" s="26">
        <v>900505401</v>
      </c>
      <c r="M379" s="43">
        <v>1170</v>
      </c>
      <c r="N379" s="44">
        <v>45076</v>
      </c>
      <c r="O379" s="45">
        <v>511774000</v>
      </c>
      <c r="P379" s="46">
        <v>45125</v>
      </c>
      <c r="Q379" s="43" t="s">
        <v>2772</v>
      </c>
      <c r="R379" s="46">
        <v>45132</v>
      </c>
      <c r="S379" s="45" t="s">
        <v>2768</v>
      </c>
      <c r="T379" s="46">
        <v>45132</v>
      </c>
      <c r="U379" s="45">
        <v>18960316</v>
      </c>
      <c r="V379" s="43">
        <v>1229</v>
      </c>
      <c r="W379" s="44">
        <v>45126</v>
      </c>
      <c r="X379" s="45">
        <v>18960316</v>
      </c>
      <c r="Y379" s="46">
        <v>45330</v>
      </c>
      <c r="Z379" s="48" t="s">
        <v>120</v>
      </c>
      <c r="AA379" s="49"/>
      <c r="AB379" s="49"/>
      <c r="AC379" s="26"/>
      <c r="AD379" s="49"/>
      <c r="AE379" s="49"/>
      <c r="AF379" s="49"/>
      <c r="AG379" s="45"/>
      <c r="AH379" s="50">
        <f>U379+AG379</f>
        <v>18960316</v>
      </c>
      <c r="AI379" s="48"/>
      <c r="AJ379" s="49"/>
      <c r="AK379" s="49"/>
      <c r="AL379" s="42"/>
      <c r="AM379" s="48"/>
      <c r="AN379" s="48"/>
      <c r="AO379" s="49"/>
      <c r="AP379" s="49"/>
      <c r="AQ379" s="49"/>
      <c r="AR379" s="49"/>
      <c r="AS379" s="49"/>
      <c r="AT379" s="49"/>
      <c r="AU379" s="49"/>
      <c r="AV379" s="49"/>
      <c r="AW379" s="41" t="s">
        <v>56</v>
      </c>
      <c r="AX379" s="54" t="s">
        <v>1448</v>
      </c>
      <c r="AY379" s="54">
        <v>20235920007633</v>
      </c>
    </row>
    <row r="380" spans="2:51" s="37" customFormat="1" ht="25.5" x14ac:dyDescent="0.25">
      <c r="B380" s="38">
        <v>379</v>
      </c>
      <c r="C380" s="39">
        <v>2023</v>
      </c>
      <c r="D380" s="40" t="s">
        <v>2773</v>
      </c>
      <c r="E380" s="41" t="s">
        <v>518</v>
      </c>
      <c r="F380" s="40" t="s">
        <v>2774</v>
      </c>
      <c r="G380" s="40" t="s">
        <v>2775</v>
      </c>
      <c r="H380" s="41" t="s">
        <v>2776</v>
      </c>
      <c r="I380" s="25" t="s">
        <v>2777</v>
      </c>
      <c r="J380" s="42" t="s">
        <v>2778</v>
      </c>
      <c r="K380" s="42" t="s">
        <v>2779</v>
      </c>
      <c r="L380" s="26">
        <v>901745114</v>
      </c>
      <c r="M380" s="43">
        <v>1191</v>
      </c>
      <c r="N380" s="44">
        <v>45084</v>
      </c>
      <c r="O380" s="45">
        <v>7575704041</v>
      </c>
      <c r="P380" s="46">
        <v>45170</v>
      </c>
      <c r="Q380" s="61" t="s">
        <v>2780</v>
      </c>
      <c r="R380" s="46">
        <v>45229</v>
      </c>
      <c r="S380" s="45" t="s">
        <v>106</v>
      </c>
      <c r="T380" s="46">
        <v>45231</v>
      </c>
      <c r="U380" s="45">
        <v>7575704041</v>
      </c>
      <c r="V380" s="43">
        <v>1315</v>
      </c>
      <c r="W380" s="44">
        <v>45202</v>
      </c>
      <c r="X380" s="45">
        <v>7575704041</v>
      </c>
      <c r="Y380" s="46">
        <v>45473</v>
      </c>
      <c r="Z380" s="48" t="s">
        <v>120</v>
      </c>
      <c r="AA380" s="49"/>
      <c r="AB380" s="49"/>
      <c r="AC380" s="26"/>
      <c r="AD380" s="49"/>
      <c r="AE380" s="49"/>
      <c r="AF380" s="49"/>
      <c r="AG380" s="45"/>
      <c r="AH380" s="50">
        <f>U380+AG380</f>
        <v>7575704041</v>
      </c>
      <c r="AI380" s="48"/>
      <c r="AJ380" s="49"/>
      <c r="AK380" s="49"/>
      <c r="AL380" s="42"/>
      <c r="AM380" s="48"/>
      <c r="AN380" s="48"/>
      <c r="AO380" s="49"/>
      <c r="AP380" s="49"/>
      <c r="AQ380" s="49"/>
      <c r="AR380" s="49"/>
      <c r="AS380" s="49"/>
      <c r="AT380" s="49"/>
      <c r="AU380" s="49"/>
      <c r="AV380" s="49"/>
      <c r="AW380" s="41" t="s">
        <v>56</v>
      </c>
      <c r="AX380" s="54" t="s">
        <v>2645</v>
      </c>
      <c r="AY380" s="54" t="s">
        <v>2645</v>
      </c>
    </row>
    <row r="381" spans="2:51" s="37" customFormat="1" ht="15" customHeight="1" x14ac:dyDescent="0.25">
      <c r="B381" s="38">
        <v>380</v>
      </c>
      <c r="C381" s="39">
        <v>2023</v>
      </c>
      <c r="D381" s="40" t="s">
        <v>2781</v>
      </c>
      <c r="E381" s="41" t="s">
        <v>96</v>
      </c>
      <c r="F381" s="40" t="s">
        <v>2309</v>
      </c>
      <c r="G381" s="40" t="s">
        <v>2762</v>
      </c>
      <c r="H381" s="41" t="s">
        <v>2782</v>
      </c>
      <c r="I381" s="25" t="s">
        <v>2783</v>
      </c>
      <c r="J381" s="42" t="s">
        <v>2784</v>
      </c>
      <c r="K381" s="42" t="s">
        <v>2785</v>
      </c>
      <c r="L381" s="26">
        <v>830012017</v>
      </c>
      <c r="M381" s="43">
        <v>1220</v>
      </c>
      <c r="N381" s="44">
        <v>45167</v>
      </c>
      <c r="O381" s="45">
        <v>5529697</v>
      </c>
      <c r="P381" s="46">
        <v>45190</v>
      </c>
      <c r="Q381" s="43" t="s">
        <v>708</v>
      </c>
      <c r="R381" s="46" t="s">
        <v>708</v>
      </c>
      <c r="S381" s="45" t="s">
        <v>344</v>
      </c>
      <c r="T381" s="46" t="s">
        <v>708</v>
      </c>
      <c r="U381" s="45">
        <v>3176110</v>
      </c>
      <c r="V381" s="43" t="s">
        <v>708</v>
      </c>
      <c r="W381" s="44" t="s">
        <v>708</v>
      </c>
      <c r="X381" s="45" t="s">
        <v>708</v>
      </c>
      <c r="Y381" s="46" t="s">
        <v>708</v>
      </c>
      <c r="Z381" s="48" t="s">
        <v>120</v>
      </c>
      <c r="AA381" s="49"/>
      <c r="AB381" s="49"/>
      <c r="AC381" s="26"/>
      <c r="AD381" s="49"/>
      <c r="AE381" s="49"/>
      <c r="AF381" s="49"/>
      <c r="AG381" s="45"/>
      <c r="AH381" s="50">
        <f>U381+AG381</f>
        <v>3176110</v>
      </c>
      <c r="AI381" s="48"/>
      <c r="AJ381" s="49"/>
      <c r="AK381" s="49"/>
      <c r="AL381" s="42"/>
      <c r="AM381" s="48"/>
      <c r="AN381" s="48"/>
      <c r="AO381" s="49"/>
      <c r="AP381" s="49"/>
      <c r="AQ381" s="49"/>
      <c r="AR381" s="49"/>
      <c r="AS381" s="49"/>
      <c r="AT381" s="49"/>
      <c r="AU381" s="49"/>
      <c r="AV381" s="49"/>
      <c r="AW381" s="41" t="s">
        <v>2644</v>
      </c>
      <c r="AX381" s="54" t="s">
        <v>2645</v>
      </c>
      <c r="AY381" s="54" t="s">
        <v>2645</v>
      </c>
    </row>
    <row r="382" spans="2:51" s="37" customFormat="1" ht="15" customHeight="1" x14ac:dyDescent="0.25">
      <c r="B382" s="38">
        <v>381</v>
      </c>
      <c r="C382" s="39">
        <v>2023</v>
      </c>
      <c r="D382" s="40" t="s">
        <v>2786</v>
      </c>
      <c r="E382" s="41" t="s">
        <v>518</v>
      </c>
      <c r="F382" s="40" t="s">
        <v>2787</v>
      </c>
      <c r="G382" s="40" t="s">
        <v>2788</v>
      </c>
      <c r="H382" s="41" t="s">
        <v>2789</v>
      </c>
      <c r="I382" s="25" t="s">
        <v>2790</v>
      </c>
      <c r="J382" s="42" t="s">
        <v>2791</v>
      </c>
      <c r="K382" s="42" t="s">
        <v>2792</v>
      </c>
      <c r="L382" s="26">
        <v>901572122</v>
      </c>
      <c r="M382" s="43">
        <v>1215</v>
      </c>
      <c r="N382" s="44">
        <v>45135</v>
      </c>
      <c r="O382" s="45">
        <v>757570404</v>
      </c>
      <c r="P382" s="46">
        <v>45189</v>
      </c>
      <c r="Q382" s="43" t="s">
        <v>2793</v>
      </c>
      <c r="R382" s="46">
        <v>45196</v>
      </c>
      <c r="S382" s="45" t="s">
        <v>106</v>
      </c>
      <c r="T382" s="46">
        <v>45231</v>
      </c>
      <c r="U382" s="45">
        <v>757570404</v>
      </c>
      <c r="V382" s="43">
        <v>1288</v>
      </c>
      <c r="W382" s="44">
        <v>45190</v>
      </c>
      <c r="X382" s="45">
        <v>757570404</v>
      </c>
      <c r="Y382" s="46">
        <v>45473</v>
      </c>
      <c r="Z382" s="48" t="s">
        <v>120</v>
      </c>
      <c r="AA382" s="49"/>
      <c r="AB382" s="49"/>
      <c r="AC382" s="26"/>
      <c r="AD382" s="49"/>
      <c r="AE382" s="49"/>
      <c r="AF382" s="49"/>
      <c r="AG382" s="45"/>
      <c r="AH382" s="50">
        <f>U382+AG382</f>
        <v>757570404</v>
      </c>
      <c r="AI382" s="48"/>
      <c r="AJ382" s="49"/>
      <c r="AK382" s="49"/>
      <c r="AL382" s="42"/>
      <c r="AM382" s="48"/>
      <c r="AN382" s="48"/>
      <c r="AO382" s="49"/>
      <c r="AP382" s="49"/>
      <c r="AQ382" s="49"/>
      <c r="AR382" s="49"/>
      <c r="AS382" s="49"/>
      <c r="AT382" s="49"/>
      <c r="AU382" s="49"/>
      <c r="AV382" s="49"/>
      <c r="AW382" s="41" t="s">
        <v>56</v>
      </c>
      <c r="AX382" s="54" t="s">
        <v>2645</v>
      </c>
      <c r="AY382" s="54" t="s">
        <v>2645</v>
      </c>
    </row>
    <row r="383" spans="2:51" s="37" customFormat="1" ht="15" customHeight="1" x14ac:dyDescent="0.25">
      <c r="B383" s="64">
        <v>382</v>
      </c>
      <c r="C383" s="39">
        <v>2023</v>
      </c>
      <c r="D383" s="40" t="s">
        <v>2794</v>
      </c>
      <c r="E383" s="41" t="s">
        <v>324</v>
      </c>
      <c r="F383" s="40" t="s">
        <v>2309</v>
      </c>
      <c r="G383" s="40" t="s">
        <v>98</v>
      </c>
      <c r="H383" s="41" t="s">
        <v>2794</v>
      </c>
      <c r="I383" s="25" t="s">
        <v>2795</v>
      </c>
      <c r="J383" s="42" t="s">
        <v>2796</v>
      </c>
      <c r="K383" s="42" t="s">
        <v>2797</v>
      </c>
      <c r="L383" s="26">
        <v>901441128</v>
      </c>
      <c r="M383" s="43">
        <v>1241</v>
      </c>
      <c r="N383" s="44">
        <v>45181</v>
      </c>
      <c r="O383" s="45">
        <v>13883373</v>
      </c>
      <c r="P383" s="46">
        <v>45216</v>
      </c>
      <c r="Q383" s="43" t="s">
        <v>708</v>
      </c>
      <c r="R383" s="46" t="s">
        <v>708</v>
      </c>
      <c r="S383" s="45" t="s">
        <v>2315</v>
      </c>
      <c r="T383" s="46" t="s">
        <v>708</v>
      </c>
      <c r="U383" s="45">
        <v>11510922</v>
      </c>
      <c r="V383" s="43" t="s">
        <v>708</v>
      </c>
      <c r="W383" s="44" t="s">
        <v>708</v>
      </c>
      <c r="X383" s="45" t="s">
        <v>708</v>
      </c>
      <c r="Y383" s="46" t="s">
        <v>708</v>
      </c>
      <c r="Z383" s="48" t="s">
        <v>120</v>
      </c>
      <c r="AA383" s="49"/>
      <c r="AB383" s="49"/>
      <c r="AC383" s="26"/>
      <c r="AD383" s="49"/>
      <c r="AE383" s="49"/>
      <c r="AF383" s="49"/>
      <c r="AG383" s="45"/>
      <c r="AH383" s="50">
        <f>U383+AG383</f>
        <v>11510922</v>
      </c>
      <c r="AI383" s="48"/>
      <c r="AJ383" s="49"/>
      <c r="AK383" s="49"/>
      <c r="AL383" s="42"/>
      <c r="AM383" s="48"/>
      <c r="AN383" s="48"/>
      <c r="AO383" s="49"/>
      <c r="AP383" s="49"/>
      <c r="AQ383" s="49"/>
      <c r="AR383" s="49"/>
      <c r="AS383" s="49"/>
      <c r="AT383" s="49"/>
      <c r="AU383" s="49"/>
      <c r="AV383" s="49"/>
      <c r="AW383" s="41" t="s">
        <v>2644</v>
      </c>
      <c r="AX383" s="54" t="s">
        <v>2645</v>
      </c>
      <c r="AY383" s="54" t="s">
        <v>2645</v>
      </c>
    </row>
    <row r="384" spans="2:51" s="37" customFormat="1" ht="15" customHeight="1" x14ac:dyDescent="0.25">
      <c r="B384" s="64">
        <v>383</v>
      </c>
      <c r="C384" s="39">
        <v>2023</v>
      </c>
      <c r="D384" s="40" t="s">
        <v>2798</v>
      </c>
      <c r="E384" s="41" t="s">
        <v>324</v>
      </c>
      <c r="F384" s="40" t="s">
        <v>2761</v>
      </c>
      <c r="G384" s="40" t="s">
        <v>2762</v>
      </c>
      <c r="H384" s="40" t="s">
        <v>2799</v>
      </c>
      <c r="I384" s="25" t="s">
        <v>2800</v>
      </c>
      <c r="J384" s="42" t="s">
        <v>2801</v>
      </c>
      <c r="K384" s="42" t="s">
        <v>2802</v>
      </c>
      <c r="L384" s="26">
        <v>860026740</v>
      </c>
      <c r="M384" s="43">
        <v>1222</v>
      </c>
      <c r="N384" s="44">
        <v>45168</v>
      </c>
      <c r="O384" s="45">
        <v>80228250</v>
      </c>
      <c r="P384" s="46">
        <v>45217</v>
      </c>
      <c r="Q384" s="43" t="s">
        <v>2803</v>
      </c>
      <c r="R384" s="46" t="s">
        <v>708</v>
      </c>
      <c r="S384" s="45" t="s">
        <v>2315</v>
      </c>
      <c r="T384" s="46" t="s">
        <v>708</v>
      </c>
      <c r="U384" s="45">
        <v>80228250</v>
      </c>
      <c r="V384" s="43" t="s">
        <v>708</v>
      </c>
      <c r="W384" s="44" t="s">
        <v>708</v>
      </c>
      <c r="X384" s="45" t="s">
        <v>708</v>
      </c>
      <c r="Y384" s="46" t="s">
        <v>708</v>
      </c>
      <c r="Z384" s="48" t="s">
        <v>120</v>
      </c>
      <c r="AA384" s="49"/>
      <c r="AB384" s="49"/>
      <c r="AC384" s="26"/>
      <c r="AD384" s="49"/>
      <c r="AE384" s="49"/>
      <c r="AF384" s="49"/>
      <c r="AG384" s="45"/>
      <c r="AH384" s="50">
        <f>U384+AG384</f>
        <v>80228250</v>
      </c>
      <c r="AI384" s="48"/>
      <c r="AJ384" s="49"/>
      <c r="AK384" s="49"/>
      <c r="AL384" s="42"/>
      <c r="AM384" s="48"/>
      <c r="AN384" s="48"/>
      <c r="AO384" s="49"/>
      <c r="AP384" s="49"/>
      <c r="AQ384" s="49"/>
      <c r="AR384" s="49"/>
      <c r="AS384" s="49"/>
      <c r="AT384" s="49"/>
      <c r="AU384" s="49"/>
      <c r="AV384" s="49"/>
      <c r="AW384" s="41" t="s">
        <v>2644</v>
      </c>
      <c r="AX384" s="54" t="s">
        <v>2804</v>
      </c>
      <c r="AY384" s="54">
        <v>20235920010273</v>
      </c>
    </row>
    <row r="385" spans="2:51" s="37" customFormat="1" ht="15" customHeight="1" x14ac:dyDescent="0.25">
      <c r="B385" s="64">
        <v>384</v>
      </c>
      <c r="C385" s="39">
        <v>2023</v>
      </c>
      <c r="D385" s="40" t="s">
        <v>2805</v>
      </c>
      <c r="E385" s="41" t="s">
        <v>96</v>
      </c>
      <c r="F385" s="40" t="s">
        <v>2309</v>
      </c>
      <c r="G385" s="40" t="s">
        <v>98</v>
      </c>
      <c r="H385" s="40" t="s">
        <v>2806</v>
      </c>
      <c r="I385" s="25" t="s">
        <v>2807</v>
      </c>
      <c r="J385" s="42" t="s">
        <v>2808</v>
      </c>
      <c r="K385" s="42" t="s">
        <v>2809</v>
      </c>
      <c r="L385" s="26">
        <v>900421971</v>
      </c>
      <c r="M385" s="43">
        <v>1285</v>
      </c>
      <c r="N385" s="44">
        <v>45188</v>
      </c>
      <c r="O385" s="45">
        <v>32374426</v>
      </c>
      <c r="P385" s="46" t="s">
        <v>708</v>
      </c>
      <c r="Q385" s="43" t="s">
        <v>708</v>
      </c>
      <c r="R385" s="46" t="s">
        <v>708</v>
      </c>
      <c r="S385" s="45" t="s">
        <v>1393</v>
      </c>
      <c r="T385" s="46" t="s">
        <v>708</v>
      </c>
      <c r="U385" s="45">
        <v>10081680</v>
      </c>
      <c r="V385" s="43" t="s">
        <v>708</v>
      </c>
      <c r="W385" s="44" t="s">
        <v>708</v>
      </c>
      <c r="X385" s="45" t="s">
        <v>708</v>
      </c>
      <c r="Y385" s="46" t="s">
        <v>708</v>
      </c>
      <c r="Z385" s="48" t="s">
        <v>120</v>
      </c>
      <c r="AA385" s="49"/>
      <c r="AB385" s="49"/>
      <c r="AC385" s="26"/>
      <c r="AD385" s="49"/>
      <c r="AE385" s="49"/>
      <c r="AF385" s="49"/>
      <c r="AG385" s="45"/>
      <c r="AH385" s="50">
        <f>U385+AG385</f>
        <v>10081680</v>
      </c>
      <c r="AI385" s="48"/>
      <c r="AJ385" s="49"/>
      <c r="AK385" s="49"/>
      <c r="AL385" s="42"/>
      <c r="AM385" s="48"/>
      <c r="AN385" s="48"/>
      <c r="AO385" s="49"/>
      <c r="AP385" s="49"/>
      <c r="AQ385" s="49"/>
      <c r="AR385" s="49"/>
      <c r="AS385" s="49"/>
      <c r="AT385" s="49"/>
      <c r="AU385" s="49"/>
      <c r="AV385" s="49"/>
      <c r="AW385" s="41" t="s">
        <v>2644</v>
      </c>
      <c r="AX385" s="54" t="s">
        <v>2645</v>
      </c>
      <c r="AY385" s="54" t="s">
        <v>2645</v>
      </c>
    </row>
    <row r="386" spans="2:51" s="37" customFormat="1" ht="15" customHeight="1" x14ac:dyDescent="0.25">
      <c r="B386" s="38">
        <v>385</v>
      </c>
      <c r="C386" s="39">
        <v>2023</v>
      </c>
      <c r="D386" s="40" t="s">
        <v>2810</v>
      </c>
      <c r="E386" s="41" t="s">
        <v>346</v>
      </c>
      <c r="F386" s="40" t="s">
        <v>2761</v>
      </c>
      <c r="G386" s="40" t="s">
        <v>2762</v>
      </c>
      <c r="H386" s="41" t="s">
        <v>2811</v>
      </c>
      <c r="I386" s="25" t="s">
        <v>2812</v>
      </c>
      <c r="J386" s="42" t="s">
        <v>2813</v>
      </c>
      <c r="K386" s="42" t="s">
        <v>2814</v>
      </c>
      <c r="L386" s="26">
        <v>900709559</v>
      </c>
      <c r="M386" s="43">
        <v>1221</v>
      </c>
      <c r="N386" s="44">
        <v>45168</v>
      </c>
      <c r="O386" s="45">
        <v>39356000</v>
      </c>
      <c r="P386" s="46">
        <v>45226</v>
      </c>
      <c r="Q386" s="43" t="s">
        <v>2815</v>
      </c>
      <c r="R386" s="46">
        <v>45231</v>
      </c>
      <c r="S386" s="45" t="s">
        <v>106</v>
      </c>
      <c r="T386" s="46">
        <v>45231</v>
      </c>
      <c r="U386" s="45">
        <v>39356000</v>
      </c>
      <c r="V386" s="43">
        <v>1407</v>
      </c>
      <c r="W386" s="44">
        <v>45229</v>
      </c>
      <c r="X386" s="45">
        <v>39356000</v>
      </c>
      <c r="Y386" s="46">
        <v>45473</v>
      </c>
      <c r="Z386" s="48" t="s">
        <v>120</v>
      </c>
      <c r="AA386" s="49"/>
      <c r="AB386" s="49"/>
      <c r="AC386" s="26"/>
      <c r="AD386" s="49"/>
      <c r="AE386" s="49"/>
      <c r="AF386" s="49"/>
      <c r="AG386" s="45"/>
      <c r="AH386" s="50">
        <f>U386+AG386</f>
        <v>39356000</v>
      </c>
      <c r="AI386" s="48"/>
      <c r="AJ386" s="49"/>
      <c r="AK386" s="49"/>
      <c r="AL386" s="42"/>
      <c r="AM386" s="48"/>
      <c r="AN386" s="48"/>
      <c r="AO386" s="49"/>
      <c r="AP386" s="49"/>
      <c r="AQ386" s="49"/>
      <c r="AR386" s="49"/>
      <c r="AS386" s="49"/>
      <c r="AT386" s="49"/>
      <c r="AU386" s="49"/>
      <c r="AV386" s="49"/>
      <c r="AW386" s="41" t="s">
        <v>56</v>
      </c>
      <c r="AX386" s="54" t="s">
        <v>2645</v>
      </c>
      <c r="AY386" s="54" t="s">
        <v>2645</v>
      </c>
    </row>
    <row r="387" spans="2:51" s="37" customFormat="1" ht="39" x14ac:dyDescent="0.25">
      <c r="B387" s="41" t="s">
        <v>2816</v>
      </c>
      <c r="C387" s="39">
        <v>2023</v>
      </c>
      <c r="D387" s="40" t="s">
        <v>2816</v>
      </c>
      <c r="E387" s="41" t="s">
        <v>324</v>
      </c>
      <c r="F387" s="40" t="s">
        <v>2817</v>
      </c>
      <c r="G387" s="40" t="s">
        <v>98</v>
      </c>
      <c r="H387" s="40" t="s">
        <v>2818</v>
      </c>
      <c r="I387" s="25" t="s">
        <v>2819</v>
      </c>
      <c r="J387" s="42" t="s">
        <v>2820</v>
      </c>
      <c r="K387" s="42" t="s">
        <v>2821</v>
      </c>
      <c r="L387" s="26">
        <v>901677020</v>
      </c>
      <c r="M387" s="43">
        <v>1122</v>
      </c>
      <c r="N387" s="44">
        <v>45015</v>
      </c>
      <c r="O387" s="45">
        <v>278857407</v>
      </c>
      <c r="P387" s="44">
        <v>45035</v>
      </c>
      <c r="Q387" s="43" t="s">
        <v>2822</v>
      </c>
      <c r="R387" s="46">
        <v>45040</v>
      </c>
      <c r="S387" s="45" t="s">
        <v>2701</v>
      </c>
      <c r="T387" s="46">
        <v>45041</v>
      </c>
      <c r="U387" s="45">
        <v>196870557</v>
      </c>
      <c r="V387" s="43">
        <v>1124</v>
      </c>
      <c r="W387" s="44">
        <v>45036</v>
      </c>
      <c r="X387" s="47">
        <v>196870557</v>
      </c>
      <c r="Y387" s="46">
        <v>45315</v>
      </c>
      <c r="Z387" s="48" t="s">
        <v>109</v>
      </c>
      <c r="AA387" s="48" t="s">
        <v>121</v>
      </c>
      <c r="AB387" s="48" t="s">
        <v>121</v>
      </c>
      <c r="AC387" s="26" t="s">
        <v>121</v>
      </c>
      <c r="AD387" s="48" t="s">
        <v>708</v>
      </c>
      <c r="AE387" s="48" t="s">
        <v>708</v>
      </c>
      <c r="AF387" s="48"/>
      <c r="AG387" s="45"/>
      <c r="AH387" s="50">
        <f>U387+AG387</f>
        <v>196870557</v>
      </c>
      <c r="AI387" s="48"/>
      <c r="AJ387" s="48"/>
      <c r="AK387" s="48"/>
      <c r="AL387" s="42"/>
      <c r="AM387" s="48"/>
      <c r="AN387" s="48"/>
      <c r="AO387" s="38"/>
      <c r="AP387" s="38"/>
      <c r="AQ387" s="38"/>
      <c r="AR387" s="38"/>
      <c r="AS387" s="38"/>
      <c r="AT387" s="51"/>
      <c r="AU387" s="52"/>
      <c r="AV387" s="38"/>
      <c r="AW387" s="41" t="s">
        <v>56</v>
      </c>
      <c r="AX387" s="40" t="s">
        <v>271</v>
      </c>
      <c r="AY387" s="54">
        <v>20235920005133</v>
      </c>
    </row>
    <row r="388" spans="2:51" s="37" customFormat="1" ht="39" x14ac:dyDescent="0.25">
      <c r="B388" s="41" t="s">
        <v>2823</v>
      </c>
      <c r="C388" s="39">
        <v>2023</v>
      </c>
      <c r="D388" s="40" t="s">
        <v>2823</v>
      </c>
      <c r="E388" s="41" t="s">
        <v>96</v>
      </c>
      <c r="F388" s="40" t="s">
        <v>2817</v>
      </c>
      <c r="G388" s="40" t="s">
        <v>2824</v>
      </c>
      <c r="H388" s="41" t="s">
        <v>2823</v>
      </c>
      <c r="I388" s="25" t="s">
        <v>2825</v>
      </c>
      <c r="J388" s="42" t="s">
        <v>2826</v>
      </c>
      <c r="K388" s="42" t="s">
        <v>2827</v>
      </c>
      <c r="L388" s="26">
        <v>830053669</v>
      </c>
      <c r="M388" s="43">
        <v>1174</v>
      </c>
      <c r="N388" s="44">
        <v>45078</v>
      </c>
      <c r="O388" s="45">
        <v>42000000</v>
      </c>
      <c r="P388" s="44">
        <v>45119</v>
      </c>
      <c r="Q388" s="43" t="s">
        <v>2828</v>
      </c>
      <c r="R388" s="46">
        <v>45126</v>
      </c>
      <c r="S388" s="45" t="s">
        <v>870</v>
      </c>
      <c r="T388" s="46">
        <v>45128</v>
      </c>
      <c r="U388" s="45">
        <v>20475199</v>
      </c>
      <c r="V388" s="43">
        <v>1226</v>
      </c>
      <c r="W388" s="44">
        <v>45124</v>
      </c>
      <c r="X388" s="47">
        <v>20475199</v>
      </c>
      <c r="Y388" s="46">
        <v>45432</v>
      </c>
      <c r="Z388" s="48" t="s">
        <v>120</v>
      </c>
      <c r="AA388" s="48"/>
      <c r="AB388" s="48"/>
      <c r="AC388" s="26"/>
      <c r="AD388" s="48"/>
      <c r="AE388" s="48"/>
      <c r="AF388" s="48"/>
      <c r="AG388" s="45"/>
      <c r="AH388" s="50">
        <f>U388+AG388</f>
        <v>20475199</v>
      </c>
      <c r="AI388" s="48"/>
      <c r="AJ388" s="48"/>
      <c r="AK388" s="48"/>
      <c r="AL388" s="42"/>
      <c r="AM388" s="48"/>
      <c r="AN388" s="48"/>
      <c r="AO388" s="38"/>
      <c r="AP388" s="38"/>
      <c r="AQ388" s="38"/>
      <c r="AR388" s="38"/>
      <c r="AS388" s="38"/>
      <c r="AT388" s="51"/>
      <c r="AU388" s="52"/>
      <c r="AV388" s="38"/>
      <c r="AW388" s="41" t="s">
        <v>56</v>
      </c>
      <c r="AX388" s="40" t="s">
        <v>271</v>
      </c>
      <c r="AY388" s="54">
        <v>20235920007543</v>
      </c>
    </row>
    <row r="389" spans="2:51" s="37" customFormat="1" ht="39" x14ac:dyDescent="0.25">
      <c r="B389" s="41" t="s">
        <v>2829</v>
      </c>
      <c r="C389" s="39">
        <v>2023</v>
      </c>
      <c r="D389" s="40" t="s">
        <v>2829</v>
      </c>
      <c r="E389" s="41" t="s">
        <v>96</v>
      </c>
      <c r="F389" s="40" t="s">
        <v>2817</v>
      </c>
      <c r="G389" s="40" t="s">
        <v>2824</v>
      </c>
      <c r="H389" s="41" t="s">
        <v>2829</v>
      </c>
      <c r="I389" s="25" t="s">
        <v>2830</v>
      </c>
      <c r="J389" s="42" t="s">
        <v>2826</v>
      </c>
      <c r="K389" s="42" t="s">
        <v>2827</v>
      </c>
      <c r="L389" s="26">
        <v>830053669</v>
      </c>
      <c r="M389" s="43">
        <v>1174</v>
      </c>
      <c r="N389" s="44">
        <v>45078</v>
      </c>
      <c r="O389" s="45">
        <v>42000000</v>
      </c>
      <c r="P389" s="44">
        <v>45119</v>
      </c>
      <c r="Q389" s="43" t="s">
        <v>2831</v>
      </c>
      <c r="R389" s="46">
        <v>45126</v>
      </c>
      <c r="S389" s="45" t="s">
        <v>870</v>
      </c>
      <c r="T389" s="46">
        <v>45128</v>
      </c>
      <c r="U389" s="45">
        <v>4167616</v>
      </c>
      <c r="V389" s="43">
        <v>1225</v>
      </c>
      <c r="W389" s="44">
        <v>45124</v>
      </c>
      <c r="X389" s="47">
        <v>4167616</v>
      </c>
      <c r="Y389" s="46">
        <v>45432</v>
      </c>
      <c r="Z389" s="48" t="s">
        <v>120</v>
      </c>
      <c r="AA389" s="48"/>
      <c r="AB389" s="48"/>
      <c r="AC389" s="26"/>
      <c r="AD389" s="48"/>
      <c r="AE389" s="48"/>
      <c r="AF389" s="48"/>
      <c r="AG389" s="45"/>
      <c r="AH389" s="50">
        <f>U389+AG389</f>
        <v>4167616</v>
      </c>
      <c r="AI389" s="48"/>
      <c r="AJ389" s="48"/>
      <c r="AK389" s="48"/>
      <c r="AL389" s="42"/>
      <c r="AM389" s="48"/>
      <c r="AN389" s="48"/>
      <c r="AO389" s="38"/>
      <c r="AP389" s="38"/>
      <c r="AQ389" s="38"/>
      <c r="AR389" s="38"/>
      <c r="AS389" s="38"/>
      <c r="AT389" s="51"/>
      <c r="AU389" s="52"/>
      <c r="AV389" s="38"/>
      <c r="AW389" s="41" t="s">
        <v>56</v>
      </c>
      <c r="AX389" s="40" t="s">
        <v>271</v>
      </c>
      <c r="AY389" s="54">
        <v>20235920007543</v>
      </c>
    </row>
    <row r="390" spans="2:51" s="37" customFormat="1" ht="39" x14ac:dyDescent="0.25">
      <c r="B390" s="41" t="s">
        <v>2832</v>
      </c>
      <c r="C390" s="39">
        <v>2023</v>
      </c>
      <c r="D390" s="40" t="s">
        <v>2832</v>
      </c>
      <c r="E390" s="41" t="s">
        <v>324</v>
      </c>
      <c r="F390" s="40" t="s">
        <v>2817</v>
      </c>
      <c r="G390" s="40" t="s">
        <v>2824</v>
      </c>
      <c r="H390" s="41" t="s">
        <v>2832</v>
      </c>
      <c r="I390" s="25" t="s">
        <v>2833</v>
      </c>
      <c r="J390" s="42" t="s">
        <v>2834</v>
      </c>
      <c r="K390" s="42" t="s">
        <v>2835</v>
      </c>
      <c r="L390" s="26">
        <v>830122983</v>
      </c>
      <c r="M390" s="43">
        <v>1211</v>
      </c>
      <c r="N390" s="44">
        <v>45118</v>
      </c>
      <c r="O390" s="45">
        <v>4518707</v>
      </c>
      <c r="P390" s="44">
        <v>45125</v>
      </c>
      <c r="Q390" s="43">
        <v>152528</v>
      </c>
      <c r="R390" s="46">
        <v>45133</v>
      </c>
      <c r="S390" s="45" t="s">
        <v>2836</v>
      </c>
      <c r="T390" s="46">
        <v>45135</v>
      </c>
      <c r="U390" s="45">
        <v>3703386</v>
      </c>
      <c r="V390" s="43">
        <v>1230</v>
      </c>
      <c r="W390" s="44">
        <v>45126</v>
      </c>
      <c r="X390" s="47">
        <v>3703386</v>
      </c>
      <c r="Y390" s="46">
        <v>45161</v>
      </c>
      <c r="Z390" s="48" t="s">
        <v>120</v>
      </c>
      <c r="AA390" s="48" t="s">
        <v>121</v>
      </c>
      <c r="AB390" s="48" t="s">
        <v>121</v>
      </c>
      <c r="AC390" s="26" t="s">
        <v>121</v>
      </c>
      <c r="AD390" s="48" t="s">
        <v>121</v>
      </c>
      <c r="AE390" s="48" t="s">
        <v>121</v>
      </c>
      <c r="AF390" s="48" t="s">
        <v>121</v>
      </c>
      <c r="AG390" s="56" t="s">
        <v>121</v>
      </c>
      <c r="AH390" s="50" t="s">
        <v>121</v>
      </c>
      <c r="AI390" s="48" t="s">
        <v>121</v>
      </c>
      <c r="AJ390" s="39" t="s">
        <v>121</v>
      </c>
      <c r="AK390" s="39" t="s">
        <v>121</v>
      </c>
      <c r="AL390" s="39" t="s">
        <v>121</v>
      </c>
      <c r="AM390" s="39" t="s">
        <v>121</v>
      </c>
      <c r="AN390" s="39" t="s">
        <v>121</v>
      </c>
      <c r="AO390" s="39" t="s">
        <v>121</v>
      </c>
      <c r="AP390" s="39" t="s">
        <v>121</v>
      </c>
      <c r="AQ390" s="39" t="s">
        <v>121</v>
      </c>
      <c r="AR390" s="39" t="s">
        <v>121</v>
      </c>
      <c r="AS390" s="39" t="s">
        <v>121</v>
      </c>
      <c r="AT390" s="39" t="s">
        <v>121</v>
      </c>
      <c r="AU390" s="58" t="s">
        <v>121</v>
      </c>
      <c r="AV390" s="38" t="s">
        <v>121</v>
      </c>
      <c r="AW390" s="41" t="s">
        <v>122</v>
      </c>
      <c r="AX390" s="40" t="s">
        <v>271</v>
      </c>
      <c r="AY390" s="54">
        <v>20235920007673</v>
      </c>
    </row>
    <row r="391" spans="2:51" s="37" customFormat="1" ht="39" x14ac:dyDescent="0.25">
      <c r="B391" s="41" t="s">
        <v>2837</v>
      </c>
      <c r="C391" s="39">
        <v>2023</v>
      </c>
      <c r="D391" s="40" t="s">
        <v>2837</v>
      </c>
      <c r="E391" s="41" t="s">
        <v>96</v>
      </c>
      <c r="F391" s="40" t="s">
        <v>2817</v>
      </c>
      <c r="G391" s="40" t="s">
        <v>2824</v>
      </c>
      <c r="H391" s="41" t="s">
        <v>2837</v>
      </c>
      <c r="I391" s="25" t="s">
        <v>2838</v>
      </c>
      <c r="J391" s="42" t="s">
        <v>2839</v>
      </c>
      <c r="K391" s="42" t="s">
        <v>2840</v>
      </c>
      <c r="L391" s="26">
        <v>900365660</v>
      </c>
      <c r="M391" s="43">
        <v>1212</v>
      </c>
      <c r="N391" s="44">
        <v>45119</v>
      </c>
      <c r="O391" s="45">
        <v>11336232</v>
      </c>
      <c r="P391" s="44">
        <v>45131</v>
      </c>
      <c r="Q391" s="43" t="s">
        <v>121</v>
      </c>
      <c r="R391" s="46" t="s">
        <v>121</v>
      </c>
      <c r="S391" s="45" t="s">
        <v>344</v>
      </c>
      <c r="T391" s="46">
        <v>45138</v>
      </c>
      <c r="U391" s="45">
        <v>11336232</v>
      </c>
      <c r="V391" s="43">
        <v>1233</v>
      </c>
      <c r="W391" s="44">
        <v>45134</v>
      </c>
      <c r="X391" s="47">
        <v>11336232</v>
      </c>
      <c r="Y391" s="46">
        <v>45260</v>
      </c>
      <c r="Z391" s="48" t="s">
        <v>120</v>
      </c>
      <c r="AA391" s="48"/>
      <c r="AB391" s="48"/>
      <c r="AC391" s="26"/>
      <c r="AD391" s="48"/>
      <c r="AE391" s="48"/>
      <c r="AF391" s="48"/>
      <c r="AG391" s="45"/>
      <c r="AH391" s="50">
        <f>U391+AG391</f>
        <v>11336232</v>
      </c>
      <c r="AI391" s="48"/>
      <c r="AJ391" s="48"/>
      <c r="AK391" s="48"/>
      <c r="AL391" s="42"/>
      <c r="AM391" s="48"/>
      <c r="AN391" s="48"/>
      <c r="AO391" s="38"/>
      <c r="AP391" s="38"/>
      <c r="AQ391" s="38"/>
      <c r="AR391" s="38"/>
      <c r="AS391" s="38"/>
      <c r="AT391" s="51"/>
      <c r="AU391" s="52"/>
      <c r="AV391" s="38"/>
      <c r="AW391" s="41" t="s">
        <v>56</v>
      </c>
      <c r="AX391" s="40" t="s">
        <v>271</v>
      </c>
      <c r="AY391" s="54">
        <v>20235920007803</v>
      </c>
    </row>
    <row r="392" spans="2:51" s="37" customFormat="1" ht="39" x14ac:dyDescent="0.25">
      <c r="B392" s="41" t="s">
        <v>2841</v>
      </c>
      <c r="C392" s="39">
        <v>2023</v>
      </c>
      <c r="D392" s="40" t="s">
        <v>2841</v>
      </c>
      <c r="E392" s="41" t="s">
        <v>324</v>
      </c>
      <c r="F392" s="40" t="s">
        <v>2817</v>
      </c>
      <c r="G392" s="40" t="s">
        <v>2824</v>
      </c>
      <c r="H392" s="41" t="s">
        <v>2841</v>
      </c>
      <c r="I392" s="25" t="s">
        <v>2842</v>
      </c>
      <c r="J392" s="42" t="s">
        <v>2843</v>
      </c>
      <c r="K392" s="42" t="s">
        <v>2844</v>
      </c>
      <c r="L392" s="26">
        <v>10125834</v>
      </c>
      <c r="M392" s="43" t="s">
        <v>2845</v>
      </c>
      <c r="N392" s="44">
        <v>45134</v>
      </c>
      <c r="O392" s="45">
        <v>17858480</v>
      </c>
      <c r="P392" s="44">
        <v>45138</v>
      </c>
      <c r="Q392" s="43" t="s">
        <v>121</v>
      </c>
      <c r="R392" s="46" t="s">
        <v>121</v>
      </c>
      <c r="S392" s="45" t="s">
        <v>344</v>
      </c>
      <c r="T392" s="46">
        <v>45148</v>
      </c>
      <c r="U392" s="45">
        <v>17734400</v>
      </c>
      <c r="V392" s="43">
        <v>1236</v>
      </c>
      <c r="W392" s="44">
        <v>45141</v>
      </c>
      <c r="X392" s="47">
        <v>17734400</v>
      </c>
      <c r="Y392" s="46">
        <v>45269</v>
      </c>
      <c r="Z392" s="48" t="s">
        <v>120</v>
      </c>
      <c r="AA392" s="48"/>
      <c r="AB392" s="48"/>
      <c r="AC392" s="26"/>
      <c r="AD392" s="48"/>
      <c r="AE392" s="48"/>
      <c r="AF392" s="48"/>
      <c r="AG392" s="45"/>
      <c r="AH392" s="50">
        <f>U392+AG392</f>
        <v>17734400</v>
      </c>
      <c r="AI392" s="48"/>
      <c r="AJ392" s="48"/>
      <c r="AK392" s="48"/>
      <c r="AL392" s="42"/>
      <c r="AM392" s="48"/>
      <c r="AN392" s="48"/>
      <c r="AO392" s="38"/>
      <c r="AP392" s="38"/>
      <c r="AQ392" s="38"/>
      <c r="AR392" s="38"/>
      <c r="AS392" s="38"/>
      <c r="AT392" s="51"/>
      <c r="AU392" s="52"/>
      <c r="AV392" s="38"/>
      <c r="AW392" s="41" t="s">
        <v>56</v>
      </c>
      <c r="AX392" s="40" t="s">
        <v>271</v>
      </c>
      <c r="AY392" s="54">
        <v>20235920007943</v>
      </c>
    </row>
    <row r="393" spans="2:51" s="37" customFormat="1" ht="27.75" customHeight="1" x14ac:dyDescent="0.25">
      <c r="B393" s="41" t="s">
        <v>2846</v>
      </c>
      <c r="C393" s="39">
        <v>2023</v>
      </c>
      <c r="D393" s="40" t="s">
        <v>2846</v>
      </c>
      <c r="E393" s="41" t="s">
        <v>199</v>
      </c>
      <c r="F393" s="40" t="s">
        <v>2817</v>
      </c>
      <c r="G393" s="40" t="s">
        <v>2824</v>
      </c>
      <c r="H393" s="40" t="s">
        <v>2846</v>
      </c>
      <c r="I393" s="25" t="s">
        <v>2847</v>
      </c>
      <c r="J393" s="42" t="s">
        <v>2848</v>
      </c>
      <c r="K393" s="42" t="s">
        <v>2849</v>
      </c>
      <c r="L393" s="26">
        <v>900155107</v>
      </c>
      <c r="M393" s="43">
        <v>1218</v>
      </c>
      <c r="N393" s="44">
        <v>45152</v>
      </c>
      <c r="O393" s="45">
        <v>10731835</v>
      </c>
      <c r="P393" s="44">
        <v>45154</v>
      </c>
      <c r="Q393" s="46" t="s">
        <v>121</v>
      </c>
      <c r="R393" s="46" t="s">
        <v>121</v>
      </c>
      <c r="S393" s="45" t="s">
        <v>344</v>
      </c>
      <c r="T393" s="46">
        <v>45161</v>
      </c>
      <c r="U393" s="45">
        <v>10731835</v>
      </c>
      <c r="V393" s="43">
        <v>1241</v>
      </c>
      <c r="W393" s="44">
        <v>45156</v>
      </c>
      <c r="X393" s="45">
        <v>10731835</v>
      </c>
      <c r="Y393" s="46">
        <v>45282</v>
      </c>
      <c r="Z393" s="48" t="s">
        <v>120</v>
      </c>
      <c r="AA393" s="48"/>
      <c r="AB393" s="48"/>
      <c r="AC393" s="26"/>
      <c r="AD393" s="48"/>
      <c r="AE393" s="48"/>
      <c r="AF393" s="48"/>
      <c r="AG393" s="45"/>
      <c r="AH393" s="50">
        <f>U393+AG393</f>
        <v>10731835</v>
      </c>
      <c r="AI393" s="48"/>
      <c r="AJ393" s="48"/>
      <c r="AK393" s="48"/>
      <c r="AL393" s="42"/>
      <c r="AM393" s="48"/>
      <c r="AN393" s="48"/>
      <c r="AO393" s="38"/>
      <c r="AP393" s="38"/>
      <c r="AQ393" s="38"/>
      <c r="AR393" s="38"/>
      <c r="AS393" s="38"/>
      <c r="AT393" s="51"/>
      <c r="AU393" s="52"/>
      <c r="AV393" s="38"/>
      <c r="AW393" s="41" t="s">
        <v>56</v>
      </c>
      <c r="AX393" s="40" t="s">
        <v>271</v>
      </c>
      <c r="AY393" s="54">
        <v>20235920008223</v>
      </c>
    </row>
    <row r="394" spans="2:51" s="37" customFormat="1" ht="27.75" customHeight="1" x14ac:dyDescent="0.25">
      <c r="B394" s="41" t="s">
        <v>2850</v>
      </c>
      <c r="C394" s="39">
        <v>2023</v>
      </c>
      <c r="D394" s="40" t="s">
        <v>2850</v>
      </c>
      <c r="E394" s="41" t="s">
        <v>324</v>
      </c>
      <c r="F394" s="40" t="s">
        <v>2817</v>
      </c>
      <c r="G394" s="40" t="s">
        <v>2824</v>
      </c>
      <c r="H394" s="40" t="s">
        <v>2850</v>
      </c>
      <c r="I394" s="25" t="s">
        <v>2851</v>
      </c>
      <c r="J394" s="42" t="s">
        <v>2852</v>
      </c>
      <c r="K394" s="42" t="s">
        <v>2853</v>
      </c>
      <c r="L394" s="26">
        <v>830037946</v>
      </c>
      <c r="M394" s="43">
        <v>1216</v>
      </c>
      <c r="N394" s="44">
        <v>45147</v>
      </c>
      <c r="O394" s="45">
        <v>4486900</v>
      </c>
      <c r="P394" s="44">
        <v>45147</v>
      </c>
      <c r="Q394" s="46" t="s">
        <v>121</v>
      </c>
      <c r="R394" s="46" t="s">
        <v>121</v>
      </c>
      <c r="S394" s="45" t="s">
        <v>2854</v>
      </c>
      <c r="T394" s="46">
        <v>45154</v>
      </c>
      <c r="U394" s="45">
        <v>4486900</v>
      </c>
      <c r="V394" s="43">
        <v>1238</v>
      </c>
      <c r="W394" s="44">
        <v>45148</v>
      </c>
      <c r="X394" s="45">
        <v>4486900</v>
      </c>
      <c r="Y394" s="46">
        <v>45184</v>
      </c>
      <c r="Z394" s="48" t="s">
        <v>120</v>
      </c>
      <c r="AA394" s="49" t="s">
        <v>121</v>
      </c>
      <c r="AB394" s="48" t="s">
        <v>121</v>
      </c>
      <c r="AC394" s="48" t="s">
        <v>121</v>
      </c>
      <c r="AD394" s="48" t="s">
        <v>121</v>
      </c>
      <c r="AE394" s="48" t="s">
        <v>121</v>
      </c>
      <c r="AF394" s="48" t="s">
        <v>121</v>
      </c>
      <c r="AG394" s="48" t="s">
        <v>121</v>
      </c>
      <c r="AH394" s="48" t="s">
        <v>121</v>
      </c>
      <c r="AI394" s="48" t="s">
        <v>121</v>
      </c>
      <c r="AJ394" s="48" t="s">
        <v>121</v>
      </c>
      <c r="AK394" s="48" t="s">
        <v>121</v>
      </c>
      <c r="AL394" s="48" t="s">
        <v>121</v>
      </c>
      <c r="AM394" s="48" t="s">
        <v>121</v>
      </c>
      <c r="AN394" s="48" t="s">
        <v>121</v>
      </c>
      <c r="AO394" s="38" t="s">
        <v>121</v>
      </c>
      <c r="AP394" s="38" t="s">
        <v>121</v>
      </c>
      <c r="AQ394" s="38" t="s">
        <v>121</v>
      </c>
      <c r="AR394" s="38" t="s">
        <v>121</v>
      </c>
      <c r="AS394" s="38" t="s">
        <v>121</v>
      </c>
      <c r="AT394" s="38" t="s">
        <v>121</v>
      </c>
      <c r="AU394" s="38" t="s">
        <v>121</v>
      </c>
      <c r="AV394" s="53" t="s">
        <v>121</v>
      </c>
      <c r="AW394" s="41" t="s">
        <v>122</v>
      </c>
      <c r="AX394" s="40" t="s">
        <v>271</v>
      </c>
      <c r="AY394" s="54">
        <v>20235920008173</v>
      </c>
    </row>
    <row r="395" spans="2:51" s="37" customFormat="1" ht="26.25" customHeight="1" x14ac:dyDescent="0.25">
      <c r="B395" s="41" t="s">
        <v>2855</v>
      </c>
      <c r="C395" s="39">
        <v>2023</v>
      </c>
      <c r="D395" s="40" t="s">
        <v>2855</v>
      </c>
      <c r="E395" s="41" t="s">
        <v>324</v>
      </c>
      <c r="F395" s="40" t="s">
        <v>2817</v>
      </c>
      <c r="G395" s="40" t="s">
        <v>2824</v>
      </c>
      <c r="H395" s="41" t="s">
        <v>2855</v>
      </c>
      <c r="I395" s="25" t="s">
        <v>2856</v>
      </c>
      <c r="J395" s="42" t="s">
        <v>2857</v>
      </c>
      <c r="K395" s="42" t="s">
        <v>2858</v>
      </c>
      <c r="L395" s="26">
        <v>800015583</v>
      </c>
      <c r="M395" s="43">
        <v>1213</v>
      </c>
      <c r="N395" s="44">
        <v>45126</v>
      </c>
      <c r="O395" s="45">
        <v>209250000</v>
      </c>
      <c r="P395" s="44">
        <v>45152</v>
      </c>
      <c r="Q395" s="43" t="s">
        <v>2859</v>
      </c>
      <c r="R395" s="46">
        <v>45156</v>
      </c>
      <c r="S395" s="45" t="s">
        <v>2759</v>
      </c>
      <c r="T395" s="46">
        <v>45160</v>
      </c>
      <c r="U395" s="45">
        <v>153699620</v>
      </c>
      <c r="V395" s="43">
        <v>1239</v>
      </c>
      <c r="W395" s="44">
        <v>45152</v>
      </c>
      <c r="X395" s="45">
        <v>153699620</v>
      </c>
      <c r="Y395" s="46">
        <v>45190</v>
      </c>
      <c r="Z395" s="48" t="s">
        <v>120</v>
      </c>
      <c r="AA395" s="49" t="s">
        <v>121</v>
      </c>
      <c r="AB395" s="48" t="s">
        <v>121</v>
      </c>
      <c r="AC395" s="48" t="s">
        <v>121</v>
      </c>
      <c r="AD395" s="48" t="s">
        <v>121</v>
      </c>
      <c r="AE395" s="48" t="s">
        <v>121</v>
      </c>
      <c r="AF395" s="48" t="s">
        <v>121</v>
      </c>
      <c r="AG395" s="48" t="s">
        <v>121</v>
      </c>
      <c r="AH395" s="48" t="s">
        <v>121</v>
      </c>
      <c r="AI395" s="48" t="s">
        <v>121</v>
      </c>
      <c r="AJ395" s="48" t="s">
        <v>121</v>
      </c>
      <c r="AK395" s="48" t="s">
        <v>121</v>
      </c>
      <c r="AL395" s="48" t="s">
        <v>121</v>
      </c>
      <c r="AM395" s="48" t="s">
        <v>121</v>
      </c>
      <c r="AN395" s="48" t="s">
        <v>121</v>
      </c>
      <c r="AO395" s="38" t="s">
        <v>121</v>
      </c>
      <c r="AP395" s="38" t="s">
        <v>121</v>
      </c>
      <c r="AQ395" s="38" t="s">
        <v>121</v>
      </c>
      <c r="AR395" s="38" t="s">
        <v>121</v>
      </c>
      <c r="AS395" s="38" t="s">
        <v>121</v>
      </c>
      <c r="AT395" s="38" t="s">
        <v>121</v>
      </c>
      <c r="AU395" s="38" t="s">
        <v>121</v>
      </c>
      <c r="AV395" s="53" t="s">
        <v>121</v>
      </c>
      <c r="AW395" s="41" t="s">
        <v>122</v>
      </c>
      <c r="AX395" s="40" t="s">
        <v>271</v>
      </c>
      <c r="AY395" s="54">
        <v>20235920008183</v>
      </c>
    </row>
    <row r="396" spans="2:51" s="37" customFormat="1" ht="13.5" customHeight="1" x14ac:dyDescent="0.25">
      <c r="B396" s="65" t="s">
        <v>2860</v>
      </c>
      <c r="C396" s="39">
        <v>2023</v>
      </c>
      <c r="D396" s="40" t="s">
        <v>2860</v>
      </c>
      <c r="E396" s="41" t="s">
        <v>96</v>
      </c>
      <c r="F396" s="40" t="s">
        <v>2817</v>
      </c>
      <c r="G396" s="40" t="s">
        <v>2824</v>
      </c>
      <c r="H396" s="41" t="s">
        <v>2860</v>
      </c>
      <c r="I396" s="25" t="s">
        <v>2861</v>
      </c>
      <c r="J396" s="42" t="s">
        <v>2862</v>
      </c>
      <c r="K396" s="42" t="s">
        <v>2863</v>
      </c>
      <c r="L396" s="26">
        <v>901539681</v>
      </c>
      <c r="M396" s="43">
        <v>1295</v>
      </c>
      <c r="N396" s="44">
        <v>45198</v>
      </c>
      <c r="O396" s="45">
        <v>700000000</v>
      </c>
      <c r="P396" s="44">
        <v>45216</v>
      </c>
      <c r="Q396" s="43" t="s">
        <v>708</v>
      </c>
      <c r="R396" s="46" t="s">
        <v>708</v>
      </c>
      <c r="S396" s="45" t="s">
        <v>1393</v>
      </c>
      <c r="T396" s="46">
        <v>45219</v>
      </c>
      <c r="U396" s="45">
        <v>700000000</v>
      </c>
      <c r="V396" s="43">
        <v>1388</v>
      </c>
      <c r="W396" s="46">
        <v>45217</v>
      </c>
      <c r="X396" s="45">
        <v>700000000</v>
      </c>
      <c r="Y396" s="46">
        <v>45584</v>
      </c>
      <c r="Z396" s="48" t="s">
        <v>120</v>
      </c>
      <c r="AA396" s="48"/>
      <c r="AB396" s="48"/>
      <c r="AC396" s="26"/>
      <c r="AD396" s="48"/>
      <c r="AE396" s="48"/>
      <c r="AF396" s="48"/>
      <c r="AG396" s="45"/>
      <c r="AH396" s="50">
        <f>U396+AG396</f>
        <v>700000000</v>
      </c>
      <c r="AI396" s="48"/>
      <c r="AJ396" s="48"/>
      <c r="AK396" s="48"/>
      <c r="AL396" s="42"/>
      <c r="AM396" s="48"/>
      <c r="AN396" s="48"/>
      <c r="AO396" s="38"/>
      <c r="AP396" s="38"/>
      <c r="AQ396" s="38"/>
      <c r="AR396" s="38"/>
      <c r="AS396" s="38"/>
      <c r="AT396" s="51"/>
      <c r="AU396" s="52"/>
      <c r="AV396" s="53"/>
      <c r="AW396" s="41" t="s">
        <v>56</v>
      </c>
      <c r="AX396" s="54" t="s">
        <v>2645</v>
      </c>
      <c r="AY396" s="54" t="s">
        <v>2645</v>
      </c>
    </row>
    <row r="397" spans="2:51" ht="13.5" customHeight="1" x14ac:dyDescent="0.2">
      <c r="H397" s="27"/>
      <c r="M397" s="19"/>
      <c r="N397" s="19"/>
      <c r="O397" s="19"/>
      <c r="P397" s="19"/>
      <c r="Q397" s="19"/>
      <c r="R397" s="19"/>
      <c r="S397" s="19"/>
      <c r="T397" s="19"/>
      <c r="U397" s="33"/>
      <c r="V397" s="28"/>
      <c r="W397" s="28"/>
      <c r="X397" s="28"/>
      <c r="AF397" s="21"/>
      <c r="AG397" s="21"/>
      <c r="AH397" s="21"/>
      <c r="AI397" s="21"/>
      <c r="AJ397" s="21"/>
      <c r="AK397" s="21"/>
      <c r="AL397" s="21"/>
      <c r="AM397" s="21"/>
      <c r="AN397" s="21"/>
      <c r="AO397" s="19"/>
      <c r="AQ397" s="19"/>
      <c r="AR397" s="19"/>
      <c r="AT397" s="22"/>
      <c r="AU397" s="23"/>
      <c r="AW397" s="20"/>
      <c r="AX397" s="19"/>
      <c r="AY397" s="24"/>
    </row>
    <row r="398" spans="2:51" ht="13.5" customHeight="1" x14ac:dyDescent="0.2">
      <c r="H398" s="27"/>
      <c r="M398" s="19"/>
      <c r="N398" s="19"/>
      <c r="O398" s="19"/>
      <c r="P398" s="19"/>
      <c r="Q398" s="19"/>
      <c r="R398" s="19"/>
      <c r="S398" s="19"/>
      <c r="T398" s="19"/>
      <c r="U398" s="33"/>
      <c r="V398" s="34"/>
      <c r="W398" s="34"/>
      <c r="X398" s="34"/>
      <c r="AF398" s="21"/>
      <c r="AG398" s="21"/>
      <c r="AH398" s="21"/>
      <c r="AI398" s="21"/>
      <c r="AJ398" s="21"/>
      <c r="AK398" s="21"/>
      <c r="AL398" s="21"/>
      <c r="AM398" s="21"/>
      <c r="AN398" s="21"/>
      <c r="AO398" s="19"/>
      <c r="AQ398" s="19"/>
      <c r="AR398" s="19"/>
      <c r="AT398" s="22"/>
      <c r="AU398" s="23"/>
      <c r="AW398" s="20"/>
      <c r="AX398" s="19"/>
      <c r="AY398" s="24"/>
    </row>
  </sheetData>
  <autoFilter ref="B1:AY396" xr:uid="{3F3BA0BB-6953-488A-BF04-B6B70C9FE925}"/>
  <conditionalFormatting sqref="M1">
    <cfRule type="duplicateValues" dxfId="25" priority="45"/>
  </conditionalFormatting>
  <conditionalFormatting sqref="M106">
    <cfRule type="duplicateValues" dxfId="24" priority="5"/>
  </conditionalFormatting>
  <conditionalFormatting sqref="M112:M115">
    <cfRule type="duplicateValues" dxfId="23" priority="4"/>
  </conditionalFormatting>
  <conditionalFormatting sqref="M121:M130">
    <cfRule type="duplicateValues" dxfId="22" priority="3"/>
  </conditionalFormatting>
  <conditionalFormatting sqref="M132:M136">
    <cfRule type="duplicateValues" dxfId="21" priority="2"/>
  </conditionalFormatting>
  <conditionalFormatting sqref="M139">
    <cfRule type="duplicateValues" dxfId="20" priority="1"/>
  </conditionalFormatting>
  <conditionalFormatting sqref="M376:M377">
    <cfRule type="duplicateValues" dxfId="19" priority="18"/>
  </conditionalFormatting>
  <conditionalFormatting sqref="M383:M385">
    <cfRule type="duplicateValues" dxfId="18" priority="10"/>
  </conditionalFormatting>
  <conditionalFormatting sqref="M393:M395">
    <cfRule type="duplicateValues" dxfId="17" priority="12"/>
  </conditionalFormatting>
  <conditionalFormatting sqref="M396">
    <cfRule type="duplicateValues" dxfId="16" priority="6"/>
  </conditionalFormatting>
  <conditionalFormatting sqref="N344:N352">
    <cfRule type="duplicateValues" dxfId="15" priority="23"/>
  </conditionalFormatting>
  <conditionalFormatting sqref="N362:N364 N366:N374 N355:N360">
    <cfRule type="duplicateValues" dxfId="14" priority="21"/>
  </conditionalFormatting>
  <conditionalFormatting sqref="N376">
    <cfRule type="duplicateValues" dxfId="13" priority="19"/>
  </conditionalFormatting>
  <conditionalFormatting sqref="N378:N382 N386">
    <cfRule type="duplicateValues" dxfId="12" priority="55"/>
  </conditionalFormatting>
  <conditionalFormatting sqref="N383:N385">
    <cfRule type="duplicateValues" dxfId="11" priority="9"/>
  </conditionalFormatting>
  <conditionalFormatting sqref="N394:N395">
    <cfRule type="duplicateValues" dxfId="10" priority="13"/>
  </conditionalFormatting>
  <conditionalFormatting sqref="N396">
    <cfRule type="duplicateValues" dxfId="9" priority="7"/>
  </conditionalFormatting>
  <conditionalFormatting sqref="V303">
    <cfRule type="duplicateValues" dxfId="8" priority="24"/>
  </conditionalFormatting>
  <conditionalFormatting sqref="V344:V352">
    <cfRule type="duplicateValues" dxfId="7" priority="22"/>
  </conditionalFormatting>
  <conditionalFormatting sqref="V362:V364 V366:V375 V355:V360">
    <cfRule type="duplicateValues" dxfId="6" priority="20"/>
  </conditionalFormatting>
  <conditionalFormatting sqref="V376:V377">
    <cfRule type="duplicateValues" dxfId="5" priority="17"/>
  </conditionalFormatting>
  <conditionalFormatting sqref="V378">
    <cfRule type="duplicateValues" dxfId="4" priority="14"/>
  </conditionalFormatting>
  <conditionalFormatting sqref="V379:V382 V386">
    <cfRule type="duplicateValues" dxfId="3" priority="57"/>
  </conditionalFormatting>
  <conditionalFormatting sqref="V383:V385">
    <cfRule type="duplicateValues" dxfId="2" priority="8"/>
  </conditionalFormatting>
  <conditionalFormatting sqref="V393:V395">
    <cfRule type="duplicateValues" dxfId="1" priority="11"/>
  </conditionalFormatting>
  <conditionalFormatting sqref="M397:M398 M378:M382 M2:M105 M386:M392 M107:M111 M116:M120 M131 M137:M138 M140:M375">
    <cfRule type="duplicateValues" dxfId="0" priority="58"/>
  </conditionalFormatting>
  <dataValidations count="1">
    <dataValidation allowBlank="1" showInputMessage="1" showErrorMessage="1" sqref="E1:G1 F382:G382 J1:P1 T1:X1" xr:uid="{D1D58441-C85D-40CF-9B9F-D78BB4F879AF}"/>
  </dataValidations>
  <hyperlinks>
    <hyperlink ref="I2" r:id="rId1" xr:uid="{31F8C0EF-3E5B-4CC0-9F28-22924A52D551}"/>
    <hyperlink ref="I3" r:id="rId2" xr:uid="{15526260-A0D8-4EA7-B0D4-F5C626CA65FC}"/>
    <hyperlink ref="I4" r:id="rId3" xr:uid="{C2C24914-1E93-40F6-A737-30DD2A894126}"/>
    <hyperlink ref="I5" r:id="rId4" xr:uid="{E68C40EF-4CD9-4FD9-81AF-559C1CF8FCD5}"/>
    <hyperlink ref="I6" r:id="rId5" xr:uid="{62BBD598-453C-4C36-B29A-3813AD4729A3}"/>
    <hyperlink ref="I7" r:id="rId6" xr:uid="{B95E2553-CA91-46DE-8A9D-E55FE3A7F375}"/>
    <hyperlink ref="I8" r:id="rId7" xr:uid="{AF183B82-0CB5-4160-9626-D8F025B63EF4}"/>
    <hyperlink ref="I9" r:id="rId8" xr:uid="{FF2CB789-111C-41F2-9F73-CF2CE5F685F4}"/>
    <hyperlink ref="I10" r:id="rId9" xr:uid="{A09E036B-E80C-478F-BBB2-729F6A70D718}"/>
    <hyperlink ref="I11" r:id="rId10" xr:uid="{26E4AEEF-766D-4D5D-BA1A-E7967C97E251}"/>
    <hyperlink ref="I12" r:id="rId11" xr:uid="{F99ECB20-C5AF-4463-A373-81C97732550B}"/>
    <hyperlink ref="I13" r:id="rId12" xr:uid="{13C10488-EB31-4718-8F34-ECF4C1F03A13}"/>
    <hyperlink ref="I14" r:id="rId13" xr:uid="{9B14C751-1B99-45D8-85D5-B6756A499921}"/>
    <hyperlink ref="I20" r:id="rId14" xr:uid="{8F80B0F1-B178-471C-B8A9-883E885A3878}"/>
    <hyperlink ref="I18" r:id="rId15" xr:uid="{C68B7D4F-F5F3-41C6-8D68-E49D98E9AB6B}"/>
    <hyperlink ref="I19" r:id="rId16" xr:uid="{34E48F47-EAA9-4197-A824-5FF1BC84B648}"/>
    <hyperlink ref="I33" r:id="rId17" xr:uid="{C75848BF-3D66-40B9-A676-0F3E84942287}"/>
    <hyperlink ref="I32" r:id="rId18" xr:uid="{F0D3B3F2-8CD4-45BB-8CA5-DB4EB6D59F1E}"/>
    <hyperlink ref="I31" r:id="rId19" xr:uid="{F7AF91D7-7A24-4A50-BE4E-CA2034948FFF}"/>
    <hyperlink ref="I30" r:id="rId20" xr:uid="{E7057B37-8BA1-4697-B374-5F685BF7CBF3}"/>
    <hyperlink ref="I29" r:id="rId21" xr:uid="{9D8D4D79-B398-4A6A-BCF7-C23EBD374E5E}"/>
    <hyperlink ref="I28" r:id="rId22" xr:uid="{60E836DE-54D2-4461-BF7F-AFE4BCCC38CC}"/>
    <hyperlink ref="I26" r:id="rId23" xr:uid="{DCD4E07B-5FCE-45BE-BDDE-4BDA1D3AEF8B}"/>
    <hyperlink ref="I25" r:id="rId24" xr:uid="{E8B80D1E-9238-4FE7-A773-33DB47ACDC94}"/>
    <hyperlink ref="I24" r:id="rId25" xr:uid="{42EA28FC-26BB-4159-8358-CF36FE15FEA2}"/>
    <hyperlink ref="I23" r:id="rId26" xr:uid="{A515EEA3-D7FC-43F0-8595-4E92F56DB2C4}"/>
    <hyperlink ref="I22" r:id="rId27" xr:uid="{14076C4E-C213-4623-A173-19BDAEE50744}"/>
    <hyperlink ref="I35" r:id="rId28" xr:uid="{76CB5967-E2D4-4715-A566-21020C482B86}"/>
    <hyperlink ref="I36" r:id="rId29" xr:uid="{889CDE72-3F53-4ACA-8679-C775CB3FFF3B}"/>
    <hyperlink ref="I37" r:id="rId30" xr:uid="{489A02DA-7E8F-45F3-ABBB-A6D13D0B43C1}"/>
    <hyperlink ref="I39" r:id="rId31" xr:uid="{F676E164-FB34-4E10-A063-D84EBCA4E1E8}"/>
    <hyperlink ref="I38" r:id="rId32" xr:uid="{922108A6-913D-42AF-A6DF-55BA14C09B0B}"/>
    <hyperlink ref="I21" r:id="rId33" xr:uid="{07C6D231-F2AA-4671-8687-8E509CD61E43}"/>
    <hyperlink ref="I45" r:id="rId34" xr:uid="{F3586385-8591-4FCE-B139-81D04B459194}"/>
    <hyperlink ref="I34" r:id="rId35" xr:uid="{5C6C4932-8BE3-4BF4-B214-7FC06215B41A}"/>
    <hyperlink ref="I40" r:id="rId36" xr:uid="{C2E4E6EB-01F9-4DBB-A861-99EE8100DAAC}"/>
    <hyperlink ref="I41" r:id="rId37" xr:uid="{E11C74F8-3F27-492B-A919-469D50554350}"/>
    <hyperlink ref="I42" r:id="rId38" xr:uid="{FEE8CCC0-18D9-4767-BF0F-D07D7149AB87}"/>
    <hyperlink ref="I43" r:id="rId39" xr:uid="{0EA18413-7C27-4465-8A14-0FA94881A1B0}"/>
    <hyperlink ref="I44" r:id="rId40" xr:uid="{0799D6EF-4CE6-465D-871B-545F047FEB8F}"/>
    <hyperlink ref="I46" r:id="rId41" xr:uid="{20638AAF-28AE-499E-A5CE-0AAA79D5064E}"/>
    <hyperlink ref="I47" r:id="rId42" xr:uid="{E182C897-AEE4-4432-966D-E943FC9C91AA}"/>
    <hyperlink ref="I48" r:id="rId43" xr:uid="{FE406835-A452-420B-AA47-89BA81CF294C}"/>
    <hyperlink ref="I51" r:id="rId44" xr:uid="{7862AC51-420A-46B1-8742-B406E67E189C}"/>
    <hyperlink ref="I49" r:id="rId45" xr:uid="{E24110D5-59D4-456F-BC7D-734711D075AF}"/>
    <hyperlink ref="I53" r:id="rId46" display="jclaserna@yahoo.com" xr:uid="{0ECD2AFC-D9E5-41D1-A759-043CC5A52329}"/>
    <hyperlink ref="I64" r:id="rId47" display="juan.ramirez.montoya@gmail.com" xr:uid="{78BA55DA-369C-49C4-9CC7-E1AD7D977128}"/>
    <hyperlink ref="I55" r:id="rId48" display="edwardjerezgonzalez@gmail.com" xr:uid="{DF6DA69C-3CC9-4596-BBAB-40489DAB62E8}"/>
    <hyperlink ref="I56" r:id="rId49" display="m.isabelmontoya@hotmail.com" xr:uid="{B1F719BB-4FD6-43AE-924E-F4BC2F52F340}"/>
    <hyperlink ref="I61" r:id="rId50" display="yolanda-bayona@hotmail.com" xr:uid="{A0B7201D-EC36-4985-90BD-A545BF384023}"/>
    <hyperlink ref="I62" r:id="rId51" display="diego_fc301@hotmail.com" xr:uid="{2A4FE94B-02EE-4C5C-8A6C-2B5934078434}"/>
    <hyperlink ref="I63" r:id="rId52" display="Alejandra.gonzalez.mahecha@hotmail.com" xr:uid="{C673C628-3E67-4DC4-99DA-09760542E152}"/>
    <hyperlink ref="I69" r:id="rId53" display="jaavilezc@gmail.com" xr:uid="{507ACEFB-10B8-4AD2-94EE-4F92483C968E}"/>
    <hyperlink ref="I70" r:id="rId54" display="dollphik21@hotmail.com" xr:uid="{FFD197CC-20C7-443B-B1CC-19481C719FA6}"/>
    <hyperlink ref="I57" r:id="rId55" display="pilarchiquito1609@hotmail.com" xr:uid="{EB890A69-BC90-4683-A535-1B70B4486D2E}"/>
    <hyperlink ref="I78" r:id="rId56" display="leonardo.narvaez28@gmail.com" xr:uid="{E7182C12-0D1F-4786-AA8C-C74EEC1C6863}"/>
    <hyperlink ref="I59" r:id="rId57" display="yasu2070@hotmail.com" xr:uid="{A43CF716-7ABB-4DA8-B981-8632DF0FAD1C}"/>
    <hyperlink ref="I60" r:id="rId58" display="alehernandezcar@unal.edu.co" xr:uid="{244275F0-92E3-4153-A38A-50C08355743E}"/>
    <hyperlink ref="I50" r:id="rId59" xr:uid="{A4CA4646-C3AD-4BD1-B229-394970A807EF}"/>
    <hyperlink ref="I52" r:id="rId60" display="jaison9402@hotmail.com" xr:uid="{EC29DBCD-B109-441F-9F1B-F2970236A12D}"/>
    <hyperlink ref="I67" r:id="rId61" display="jcleongmartires@gmail.com" xr:uid="{044B5F6A-6B7D-4039-B429-F2F6653EDE5E}"/>
    <hyperlink ref="I68" r:id="rId62" display="silviabotero27@gmail.com" xr:uid="{10579670-8DA2-4002-A882-413CE0AEBFC2}"/>
    <hyperlink ref="I72" r:id="rId63" display="vesgachris@gmail.com" xr:uid="{A2DE93F3-D6EA-405B-BB60-D56FB1112CB5}"/>
    <hyperlink ref="I74" r:id="rId64" xr:uid="{5BFE2456-20E6-41F1-84BF-85C0AF3DB96A}"/>
    <hyperlink ref="I54" r:id="rId65" display="jennyferb_21@hotmail.com" xr:uid="{C0E2EB95-9E3F-4CB3-A616-5E79CDF48480}"/>
    <hyperlink ref="I73" r:id="rId66" display="caleb.emanuel231@gmail.com" xr:uid="{A32167A2-7BF7-4E77-833F-B224B1199CD5}"/>
    <hyperlink ref="I76" r:id="rId67" display="jcabril44@gmail.com" xr:uid="{1CC8B63B-75CE-4E8D-A428-42612A10F391}"/>
    <hyperlink ref="I77" r:id="rId68" display="soloescribediego@gmail.com" xr:uid="{16C57D3B-F2E0-4316-ABAD-91ACE4C3C2EE}"/>
    <hyperlink ref="I79" r:id="rId69" display="bbautista0323@gmail.com" xr:uid="{6012A8AD-CA74-4C19-BF6F-31A93D2C632F}"/>
    <hyperlink ref="I80" r:id="rId70" display="cami.henao195@gmail.com" xr:uid="{9D1181D2-D9CA-4D17-8652-69D6B1000873}"/>
    <hyperlink ref="I81" r:id="rId71" xr:uid="{8BBFB68B-CC84-4D60-A3DE-2E889F0CFA33}"/>
    <hyperlink ref="I82" r:id="rId72" display="geovanna_moreno2000@yahoo.es" xr:uid="{6EC6DBE2-0144-4E55-AE26-E2C124A9447A}"/>
    <hyperlink ref="I83" r:id="rId73" display="mauricio.ricaurte@hotmail.com" xr:uid="{AD727E00-F4BB-4006-AB20-6C73E7D61E0A}"/>
    <hyperlink ref="I84" r:id="rId74" display="nestorquin@hotmail.com" xr:uid="{6B08F24B-912E-48E6-9CAE-BD72D2743E4E}"/>
    <hyperlink ref="I85" r:id="rId75" display="julio93dformes@gmail.com" xr:uid="{6FC2471F-C1F9-4EC7-A42E-AC7D98949F62}"/>
    <hyperlink ref="I86" r:id="rId76" display="estefanialescano23@gmail.com" xr:uid="{FFE8BEBB-A78F-4D9C-BC8C-3859B57172BB}"/>
    <hyperlink ref="I87" r:id="rId77" display="junuvi2000@hotmail.com" xr:uid="{D3CB3BEC-AC37-4841-A04B-E2E33B828697}"/>
    <hyperlink ref="I88" r:id="rId78" display="gabimorevelasco@hotmail.com" xr:uid="{13B910AC-06A1-4E51-8A45-951CEDCDBF14}"/>
    <hyperlink ref="I89" r:id="rId79" display="angmelendez23@gmail.com" xr:uid="{2EC89DAC-72E0-437B-9EDC-E81D7A00A9A4}"/>
    <hyperlink ref="I90" r:id="rId80" display="mallavialfontibon2020@gmail.com" xr:uid="{F779F94B-1C3F-41CC-B4A3-311CF3180C1C}"/>
    <hyperlink ref="I91" r:id="rId81" display="cesarljlv@gmail.com" xr:uid="{8B7F0486-AEC9-4F91-B7D2-3EC09431EB48}"/>
    <hyperlink ref="I92" r:id="rId82" display="danimero1@hotmail.com" xr:uid="{B48804AD-3E17-4EF2-B9C0-86DC4F774BA9}"/>
    <hyperlink ref="I93" r:id="rId83" display="sebastianruizfierro01@gmail.com" xr:uid="{4F416066-9DAD-4090-A0D6-700AD0724D7B}"/>
    <hyperlink ref="I96" r:id="rId84" display="ygld_1@hotmail.com" xr:uid="{632A5A68-611F-449F-ADCB-EA1174CB6971}"/>
    <hyperlink ref="I97" r:id="rId85" display="varisti38@icloud.com" xr:uid="{9AECD91D-4BA2-4CC5-8971-C0EEE286D270}"/>
    <hyperlink ref="I98" r:id="rId86" display="kcarballosierra@gmail.com" xr:uid="{5FAFF074-19D4-4550-BB3E-9F655F22AEC4}"/>
    <hyperlink ref="I99" r:id="rId87" display="lina.romero2644@gmail.com" xr:uid="{709D8E07-2749-4CF7-B670-6EB47A7D4D7D}"/>
    <hyperlink ref="I100" r:id="rId88" display="kevynagr@gmail.com" xr:uid="{F1A11CE2-3038-48B5-98DD-60547946FA7B}"/>
    <hyperlink ref="I103" r:id="rId89" display="lualdupe1990@gmail.com" xr:uid="{3DB3E516-DD7C-44C3-B9CA-FEF51F35F215}"/>
    <hyperlink ref="I104" r:id="rId90" display="jairesacevedo@gmail.com" xr:uid="{6D89DC03-BFC9-432D-B81B-C902E5BDAC13}"/>
    <hyperlink ref="I105" r:id="rId91" display="olivermtt@hotmail.com" xr:uid="{748D2B3E-FA7E-4D00-A6D4-829C3B17236A}"/>
    <hyperlink ref="I106" r:id="rId92" display="sandratrivino12@hotmail.com" xr:uid="{4EA5F516-F59C-49FA-B80E-BD0443A205A8}"/>
    <hyperlink ref="I107" r:id="rId93" display="frankcuadros@hotmail.com" xr:uid="{CB017B32-7049-4C55-8037-FE19CEE7DCD4}"/>
    <hyperlink ref="I108" r:id="rId94" display="julballesteroscas@gmail.com" xr:uid="{F9062B1D-EF97-43F2-92D5-0E457A4D0EAD}"/>
    <hyperlink ref="I109" r:id="rId95" display="nidiadelavictoria@hotmail.com" xr:uid="{7B3BA52C-04ED-42DA-88FA-9A5DB0724F60}"/>
    <hyperlink ref="I110" r:id="rId96" display="oscarjsuarezp@outlook.com" xr:uid="{C567823F-972F-4CD9-B389-370A0A7E5FBA}"/>
    <hyperlink ref="I113" r:id="rId97" display="natalia.serrato17@gmail.com " xr:uid="{8FF78E93-6952-498B-8193-78715A8105B5}"/>
    <hyperlink ref="I112" r:id="rId98" display="andrescardozo94@hotmail.com" xr:uid="{67E22E56-79CD-43D3-A83C-C1BBCF63407C}"/>
    <hyperlink ref="I71" r:id="rId99" display="anemixel@hotmail.com" xr:uid="{BBAD8D4A-E0C4-4B3C-9DDB-E2B1F2D3C377}"/>
    <hyperlink ref="I111" r:id="rId100" display="ruizguerrero.andrea@gmail.com" xr:uid="{88F12761-C4C7-48A6-8C91-E5033C252E9A}"/>
    <hyperlink ref="I101" r:id="rId101" display="luis333soler@gmail.com" xr:uid="{E0C6CCCF-08C2-4C42-9564-9475AD0B647B}"/>
    <hyperlink ref="I114" r:id="rId102" display="hugolopezortega@hotmail.com" xr:uid="{8897EE34-9F7E-491B-B1D5-A75F1584EDBB}"/>
    <hyperlink ref="I115" r:id="rId103" display="adri.jimenezm@hotmail.com" xr:uid="{96496D98-68B7-4836-99B0-B59C101218B7}"/>
    <hyperlink ref="I116" r:id="rId104" display="lilian7595@hotmail.com" xr:uid="{104E0152-04A0-4DD4-BBDD-8D172DAE089F}"/>
    <hyperlink ref="I117" r:id="rId105" display="valeria.rairan@gmail.com" xr:uid="{28E5D1C6-E6FC-47E2-AE0F-4C50E5317916}"/>
    <hyperlink ref="I118" r:id="rId106" display="w.nicolas.berigues@gmail.com" xr:uid="{00BD105A-2DD3-42C0-8691-088435B78BEA}"/>
    <hyperlink ref="I119" r:id="rId107" display="yeimyzcruz@hotmail.com" xr:uid="{3FEC7580-E034-4A85-BE16-F037FB8DCAE6}"/>
    <hyperlink ref="I120" r:id="rId108" display="gonzalezpuentes99@gmail.com" xr:uid="{DF37DF73-AA40-4605-9DCA-8CAEA496AD1B}"/>
    <hyperlink ref="I121" r:id="rId109" display="j.lopez326@hotmail.com" xr:uid="{C5BEAD14-B67E-4778-9BB0-CB11F8C92A19}"/>
    <hyperlink ref="I122" r:id="rId110" display="carmenarrieta08@gmail.com" xr:uid="{CD61842D-78B9-446F-9115-AA81ECFED365}"/>
    <hyperlink ref="I123" r:id="rId111" display="oscarcapera.r@outlook.com" xr:uid="{1DBB38E6-D4D1-40EF-80F3-C9E8CA9361BF}"/>
    <hyperlink ref="I124" r:id="rId112" display="javiergrg71@gmail.com" xr:uid="{2E9C920C-5D3E-485C-97FB-83BE03799E8E}"/>
    <hyperlink ref="I125" r:id="rId113" display="sergioortizred@gmail.com" xr:uid="{DDB2A1A9-66AD-4C46-A1ED-BD5476D5E20E}"/>
    <hyperlink ref="I126" r:id="rId114" display="cahehe18@gmail.com" xr:uid="{3AD347B6-4E44-41B1-A584-7D4B6BDD97EF}"/>
    <hyperlink ref="I127" r:id="rId115" display="mepf2010@gmail.com" xr:uid="{9E51264E-1B41-4DF1-AD01-C72EF2FBF997}"/>
    <hyperlink ref="I128" r:id="rId116" display="kamilasimito@gmail.com" xr:uid="{BF7C067A-5D8A-4A5E-BBCC-6A4B5DFE35C5}"/>
    <hyperlink ref="I129" r:id="rId117" display="anazubri@gmail.com" xr:uid="{F9036BFC-FBAB-4D54-9C7C-264F9A7FFDC1}"/>
    <hyperlink ref="I131" r:id="rId118" display="edith.quecano@hotmail.com" xr:uid="{6F39E4AE-C535-4FCE-A355-836E0471830E}"/>
    <hyperlink ref="I132" r:id="rId119" display="edna.velasquez.g@gmail.com" xr:uid="{D658C3CA-04A2-4DD1-B1E5-2A5F011E0088}"/>
    <hyperlink ref="I133" r:id="rId120" display="ing.miguel.bejarano@gmail.com" xr:uid="{50DC876D-4D4D-46A4-A699-7A5BC06B86F0}"/>
    <hyperlink ref="I134" r:id="rId121" display="montoyacadavidf@gmail.com" xr:uid="{948728E8-8ED7-4DD5-906E-FF4807CF9BCC}"/>
    <hyperlink ref="I135" r:id="rId122" display="andrescarto96@gmail.com" xr:uid="{2C081DFB-785C-4F11-BB4D-741F2C997EC6}"/>
    <hyperlink ref="I136" r:id="rId123" display="tatisjeye@gmail.com" xr:uid="{579FA361-3183-4E42-B8FF-F99CC0067CE3}"/>
    <hyperlink ref="I137" r:id="rId124" display="cristian.nustes1@gmail.com" xr:uid="{5BD6717C-79F4-4A6A-A7CF-F5AD99AF1CDA}"/>
    <hyperlink ref="I138" r:id="rId125" display="lizdaniagc@gmail.com" xr:uid="{A9E18B6D-37BE-4313-997D-EF485C5B9AD9}"/>
    <hyperlink ref="I139" r:id="rId126" display="monik.salas_95@hotmail.com" xr:uid="{9F6950AD-4623-4ECD-8072-8D13645DDC8B}"/>
    <hyperlink ref="I140" r:id="rId127" display="manuelert@hotmail.com" xr:uid="{632AA801-DB1D-4CD5-8C5A-AC97C36A8C8C}"/>
    <hyperlink ref="I141" r:id="rId128" display="lore199304@gmail.com" xr:uid="{DF35D4B1-CFA6-4145-8923-6FAF51226FFE}"/>
    <hyperlink ref="I142" r:id="rId129" display="Klaudiarodriguezz@yahoo.com" xr:uid="{43BB805A-9043-4281-ACF1-46D99D94B5D7}"/>
    <hyperlink ref="I143" r:id="rId130" display="juanes0912@hotmail.com" xr:uid="{6B3C6D28-89F5-47FF-B477-C5CC7975330A}"/>
    <hyperlink ref="I144" r:id="rId131" display="anitapc44@hotmail.com" xr:uid="{E92732EE-FC97-4BE2-8302-A9E69758969A}"/>
    <hyperlink ref="I145" r:id="rId132" display="jhennifer.villa1986@gmail.com" xr:uid="{1A63FB51-F1AA-48A4-BD9E-7FCF0C17687A}"/>
    <hyperlink ref="I146" r:id="rId133" display="javrey_001@hotmail.com" xr:uid="{7063B69C-28A1-4403-A587-04586509FB83}"/>
    <hyperlink ref="I148" r:id="rId134" display="construirvida2005@gmail.com" xr:uid="{203331FE-5ABE-426A-A84A-44E1A9812D6A}"/>
    <hyperlink ref="I149" r:id="rId135" display="mariaibuitrago@gmail.com" xr:uid="{E54F30FB-502A-4165-8C1A-063CEB305FCB}"/>
    <hyperlink ref="I150" r:id="rId136" display="firacativeanderson@gmail.com" xr:uid="{1A608462-B044-4A6F-8023-5F0D2E5BD6F7}"/>
    <hyperlink ref="I151" r:id="rId137" display="pedropablo20091@gmail.com" xr:uid="{091C8D08-F453-45AA-9ED9-51F0FEEBFDEF}"/>
    <hyperlink ref="I153" r:id="rId138" display="rodriguezdorisadriana@gmail.com" xr:uid="{CC54084B-ACAB-4B56-B7B1-DB86BE761079}"/>
    <hyperlink ref="I154" r:id="rId139" display="s.mateus1320@gmail.com" xr:uid="{7DC2A3C4-4C5B-42F4-82D2-73EEB808D4DC}"/>
    <hyperlink ref="I155" r:id="rId140" display="paulamc.94@gmail.com" xr:uid="{6ABA5251-95D4-44F3-A773-9B3F9DE11BBD}"/>
    <hyperlink ref="I157" r:id="rId141" display="huertashosman@gmail.com" xr:uid="{5CE0419F-7DB8-497E-BED4-C17FF111D03E}"/>
    <hyperlink ref="I159" r:id="rId142" display="jotalepat@hotmail.com" xr:uid="{6627E9F8-039D-405C-88EC-1E0DEF606858}"/>
    <hyperlink ref="I160" r:id="rId143" display="arq.jsebastianramirez@gmail.com" xr:uid="{1236C70C-36D7-4F87-8DBF-DD0E30F7F434}"/>
    <hyperlink ref="I161" r:id="rId144" display="freddyyrojass@hotmail.com" xr:uid="{F82A24AE-67E3-458F-A810-506A867784E4}"/>
    <hyperlink ref="I162" r:id="rId145" display="angeldejesuscastroria@gmail.com" xr:uid="{3208E458-00C1-4278-8D9F-12C5C2238A60}"/>
    <hyperlink ref="I163" r:id="rId146" display="contreos10@gmail.com" xr:uid="{89225899-B0AD-4ABD-9F6D-52ABF9737F63}"/>
    <hyperlink ref="I164" r:id="rId147" display="marlon.egonzalezsilva@gmil.com" xr:uid="{CCA90263-512B-4D02-9F3F-3FCE2FD342FB}"/>
    <hyperlink ref="I165" r:id="rId148" display="nataliaangel676@gmail.com" xr:uid="{F8BADDD1-BF26-4114-A2CC-DEE9AF83FBA6}"/>
    <hyperlink ref="I167" r:id="rId149" display="paomoy12@gmail.com" xr:uid="{9101A274-FB8E-4124-9DCC-DAA57E29F0BD}"/>
    <hyperlink ref="I168" r:id="rId150" display="sabas.441970@outlook.es" xr:uid="{4B830767-0BAF-4BF8-AAF3-7A49AA68244D}"/>
    <hyperlink ref="I169" r:id="rId151" display="nicolasparra1985@gmail.com" xr:uid="{830DB920-1E0A-44A8-8D74-2D16979123EB}"/>
    <hyperlink ref="I170" r:id="rId152" display="yecikasg9@hotmail.com" xr:uid="{B4A795DE-6628-4EEB-AD8E-C3A28E7BBD5A}"/>
    <hyperlink ref="I171" r:id="rId153" display="mapaula1410@gmail.com" xr:uid="{4517559B-07FE-4F7A-B6CC-AD09DADB5D2A}"/>
    <hyperlink ref="I172" r:id="rId154" display="monicaaleja_9@hotmail.com" xr:uid="{2C75ABA6-318C-48DE-878F-CF9F3CCCC2D3}"/>
    <hyperlink ref="I173" r:id="rId155" display="alissonovalle2022@gmail.com" xr:uid="{FB3CBFC8-F11B-4066-A4F7-F43F46B0B39E}"/>
    <hyperlink ref="I174" r:id="rId156" display="ingediegoud@gmail.com" xr:uid="{CFAFF3FA-ED2B-4ED3-BAB3-9835FE76992A}"/>
    <hyperlink ref="I175" r:id="rId157" display="santiagovillegastorres@gmail.com" xr:uid="{B0A6AA1A-1FE5-4CB7-850A-50EE053A39CE}"/>
    <hyperlink ref="I176" r:id="rId158" display="drdiegoballesteros@hotmail.com" xr:uid="{9AB796DC-7E28-48E6-B514-A775B763DDFA}"/>
    <hyperlink ref="I177" r:id="rId159" display="nbonnettg@gmail.com" xr:uid="{AF50FBD1-3978-4EE9-A197-773665A41D38}"/>
    <hyperlink ref="I178" r:id="rId160" display="marco.cumbe@gmail.com" xr:uid="{D2F149FD-B805-4B54-8BFE-66BDD5376929}"/>
    <hyperlink ref="I179" r:id="rId161" display="andressaba1890@gmail.com" xr:uid="{7CE69C43-FDE9-44AF-BCB7-BFA4E744A61C}"/>
    <hyperlink ref="I180" r:id="rId162" display="jhon.castanove@cun.edu.co" xr:uid="{815EED83-9116-4755-8193-4A27F356C265}"/>
    <hyperlink ref="I181" r:id="rId163" display="diegotkd7257@gmail.com" xr:uid="{8481A22E-D9B3-455B-BA41-04E6308648DD}"/>
    <hyperlink ref="I182" r:id="rId164" display="adrianamoreno2034@gmail.com" xr:uid="{3488C512-8BC9-48E9-A59F-0070497B90DC}"/>
    <hyperlink ref="I183" r:id="rId165" display="kmiferval@gmail.com" xr:uid="{70A6A21F-E4D5-4A54-A350-FDF2392B9A73}"/>
    <hyperlink ref="I246" r:id="rId166" display="giselacharry@gmail.com" xr:uid="{4DA2FF6C-59D5-4AED-B5A3-C5D4A0A5CF79}"/>
    <hyperlink ref="I247" r:id="rId167" display="ljohana79@hotmail.com" xr:uid="{C34263F4-5E0A-4292-A303-0098E5B443B4}"/>
    <hyperlink ref="I248" r:id="rId168" display="maitehc@hotmail.com" xr:uid="{089A8876-7F95-4E9F-AD18-108D620E1929}"/>
    <hyperlink ref="I249" r:id="rId169" display="diazm986@gmail.com" xr:uid="{7CFE696C-F069-444C-94FB-BFCE2DA24B13}"/>
    <hyperlink ref="I250" r:id="rId170" display="juniorhurtadosoler@gmail.com" xr:uid="{3E1D5CE0-4883-421E-A253-95454FBF2A82}"/>
    <hyperlink ref="I251" r:id="rId171" display="cadr158789@hotmail.com" xr:uid="{C0CE0AA1-37C3-4BA2-90A5-99B44B7FB8DB}"/>
    <hyperlink ref="I252" r:id="rId172" display="crismmafontibon@gmail.com" xr:uid="{9C5A75F2-19B3-4648-84AB-A3B687AE22FC}"/>
    <hyperlink ref="I253" r:id="rId173" display="soniasantosgil@hotmail.com" xr:uid="{86995116-4905-4B72-8140-83FC4B4E7391}"/>
    <hyperlink ref="I254" r:id="rId174" display="espitiaacero1016@hotmail.com" xr:uid="{F1C03672-D8E8-45BA-9F58-C94CA9B3A038}"/>
    <hyperlink ref="I255" r:id="rId175" display="racielo59@gmail.com" xr:uid="{C1EBB633-7B6A-4C50-A82D-F1995AD1815A}"/>
    <hyperlink ref="I256" r:id="rId176" display="ju_andavid0000@hotmail.com" xr:uid="{C64594E5-0F4F-49D5-8E77-16B9FB374129}"/>
    <hyperlink ref="I257" r:id="rId177" display="mi.soproducciones@gmail.com" xr:uid="{095AAFB5-E1D7-4863-BBA9-A6FABF30BAC9}"/>
    <hyperlink ref="I258" r:id="rId178" display="naranjoangie2999@gmail.com" xr:uid="{079A74D9-E556-4E52-832D-EF28D65FF61E}"/>
    <hyperlink ref="I259" r:id="rId179" display="monicaarevalobonilla@gmail.com" xr:uid="{6EB63A95-C44C-42D7-865D-40AB42D7B900}"/>
    <hyperlink ref="I260" r:id="rId180" display="monquis80@yahoo.com" xr:uid="{EADD35CD-DAF5-40FE-A3D6-BEDA38B69E1E}"/>
    <hyperlink ref="I261" r:id="rId181" display="yonixstefanny27@hotmail.com" xr:uid="{F2106162-16C4-436F-921F-B2C96E0060D2}"/>
    <hyperlink ref="I262" r:id="rId182" display="deyca_13@hotmail.com" xr:uid="{D71A7058-EF28-4D24-A070-AE859A66F3F1}"/>
    <hyperlink ref="I263" r:id="rId183" display="paboncastellanotirzon@gmail.com" xr:uid="{F25B8C7A-3CA1-47C2-AF0D-96BEB5031511}"/>
    <hyperlink ref="I264" r:id="rId184" display="mcadenamahecha@hotmail.com" xr:uid="{C188322E-CC98-4FF7-AFEC-221CB71F1A21}"/>
    <hyperlink ref="I265" r:id="rId185" display="jeferson1613.jb@gmail.com" xr:uid="{05171FEA-76A6-4214-8D06-781DB21C7CA4}"/>
    <hyperlink ref="I266" r:id="rId186" display="ginasofia2001@gmail.com" xr:uid="{B6092AE1-C9A7-40EF-95B0-2A1CF37E6A20}"/>
    <hyperlink ref="I267" r:id="rId187" display="afragosootero@gmail.com" xr:uid="{4AB3FF76-96AF-481D-B9B2-2C11D9E7F4B1}"/>
    <hyperlink ref="I268" r:id="rId188" display="luiscarlosramosvargas1960@gmail.com" xr:uid="{C7D77E06-95FD-4D21-A52F-A67E175EE4A5}"/>
    <hyperlink ref="I269" r:id="rId189" display="luismanuelcaicedo2023@hotmail.com" xr:uid="{18B501BB-C7D8-41FE-9C01-758582B78D5E}"/>
    <hyperlink ref="I270" r:id="rId190" display="jhonmayhem@hotmail.com" xr:uid="{3026D110-5210-4E48-8908-41FD16E1E04A}"/>
    <hyperlink ref="I271" r:id="rId191" display="guillebel20@yahoo.com" xr:uid="{E511BEE2-D2F1-48EB-806A-243093645537}"/>
    <hyperlink ref="I272" r:id="rId192" display="mariaca96h@gmail.com" xr:uid="{4FA3B994-56D3-44F7-8C38-27E18C394382}"/>
    <hyperlink ref="I273" r:id="rId193" display="valentina.bc42@gmail.com" xr:uid="{4C517BCC-09FB-462F-8860-90B5B206A97B}"/>
    <hyperlink ref="I274" r:id="rId194" display="anaipalacio20@gmail.com" xr:uid="{062469BA-CE4C-4E44-9E91-6FBDC73E02D9}"/>
    <hyperlink ref="I275" r:id="rId195" display="jairojulianrivera75@gmail.com" xr:uid="{3F36376E-2E65-45FF-9112-2E7DE9C28046}"/>
    <hyperlink ref="I276" r:id="rId196" display="paogomezlema@gmail.com" xr:uid="{E8AAB659-EB1E-49E0-8F9B-055B68381EAB}"/>
    <hyperlink ref="I277" r:id="rId197" display="wruizb0691@gmail.com" xr:uid="{9CF0BF9C-B23C-474A-AFFC-E8CEEC1FC213}"/>
    <hyperlink ref="I278" r:id="rId198" display="archilita@hotmail.com" xr:uid="{C784D00D-7249-4314-904A-74A1DB5F1B2E}"/>
    <hyperlink ref="I279" r:id="rId199" display="lawyer2585@hotmail.com" xr:uid="{95837A8A-C3C5-4EB0-ADC4-CEB8A0EFC389}"/>
    <hyperlink ref="I280" r:id="rId200" display="daniel.camelo_67@hotmail.com" xr:uid="{479684A1-2124-4DE2-8299-907CFBBD2F52}"/>
    <hyperlink ref="I281" r:id="rId201" display="meilyn0516@hotmail.com" xr:uid="{81D00EF2-9450-49FA-812D-05E289DF4CA5}"/>
    <hyperlink ref="I387" r:id="rId202" display="lizvasquezramirez@gmail.com" xr:uid="{47EF67A0-8F95-4983-AFF1-C322731048EE}"/>
    <hyperlink ref="I282" r:id="rId203" display="camilah28@gmail.com" xr:uid="{C757270A-F311-4294-9FDA-9502F4D82918}"/>
    <hyperlink ref="I283" r:id="rId204" display="mvegaram66@gmail.com" xr:uid="{95F9426A-BDA9-44CF-8D60-6E7BDBE9A046}"/>
    <hyperlink ref="I284" r:id="rId205" display="paolanverano@gmail.com" xr:uid="{8834AA4B-7693-44F9-8E1C-77CA13E9DF33}"/>
    <hyperlink ref="I285" r:id="rId206" display="riruar88@hotmail.com" xr:uid="{D028CA40-5229-408B-B4F9-C36A97C01DA2}"/>
    <hyperlink ref="I288" r:id="rId207" display="sandylu_0123@hotmail.com" xr:uid="{1811FC2A-57E3-4C91-BEF5-0A106294AC38}"/>
    <hyperlink ref="I289" r:id="rId208" display="jalo2140@hotmail.com" xr:uid="{881CBC9C-CB67-496F-9DB8-FAB184149E3D}"/>
    <hyperlink ref="I286" r:id="rId209" display="richart577@hotmail.com" xr:uid="{192CA291-3F67-4D61-98F8-9617D84D1AC5}"/>
    <hyperlink ref="I287" r:id="rId210" display="gonzalezidmiguelrd@gmail.com" xr:uid="{76FB60B6-51F0-4E17-AA60-9222B7BA4DF5}"/>
    <hyperlink ref="I290" r:id="rId211" display="jessicalopez.a2310@gmail.com" xr:uid="{D3B4A082-12D1-4390-A5E3-0E84CE5331B7}"/>
    <hyperlink ref="I291" r:id="rId212" display="nchitivag@gmail.com" xr:uid="{23EC9710-7A70-4FB0-B59E-6D2DDBD5CC12}"/>
    <hyperlink ref="I292" r:id="rId213" display="sanchezmaria.12@hotmail.com" xr:uid="{16AFE2EE-5BD2-4A7B-BD7F-DB558751B266}"/>
    <hyperlink ref="I295" r:id="rId214" display="davidarboleda07@gmail.com" xr:uid="{A78421E3-8CD5-4A04-8D13-BB671B80B431}"/>
    <hyperlink ref="I296" r:id="rId215" display="sbrayamstiven2023@gmail.com" xr:uid="{79EC53ED-D681-42C5-A107-3A4069521902}"/>
    <hyperlink ref="I297" r:id="rId216" display="juniojoaquinbeltranmoreno@gmail.com" xr:uid="{D23C3B1B-CE28-42FA-97CE-EE6F591A400D}"/>
    <hyperlink ref="I298" r:id="rId217" display="sosorio117@gmail.com" xr:uid="{7A461EE3-5D70-49F8-90F5-8C9BF12D6BDB}"/>
    <hyperlink ref="I299" r:id="rId218" display="juanjo12375@hotmail.com" xr:uid="{6B3B6EE6-297E-44A0-9593-DF7453949927}"/>
    <hyperlink ref="I300" r:id="rId219" display="nohoraportela@hotmail.com" xr:uid="{1DB17754-53EA-4583-A9D8-823C44407A73}"/>
    <hyperlink ref="I301" r:id="rId220" display="hernandorodriguezmoncada@gmail.com" xr:uid="{5CC9D38A-E6E9-440F-9147-3790ED0A6B96}"/>
    <hyperlink ref="I304" r:id="rId221" display="jcrubiano95@gmail.com" xr:uid="{82C26475-EA25-4760-9D7C-044CC722018E}"/>
    <hyperlink ref="I337" r:id="rId222" display="lindsasc15@hotmail.com" xr:uid="{D65DED0D-A354-4C0B-A0ED-4E06E00EB945}"/>
    <hyperlink ref="I339" r:id="rId223" display="cueroeri@hotmail.com" xr:uid="{3525F041-7245-4CE5-9A5B-EE5910A51BC2}"/>
    <hyperlink ref="I307" r:id="rId224" display="lau-1104@hotmail.com" xr:uid="{A5584BC7-F462-4198-984C-129D01C0C29A}"/>
    <hyperlink ref="I308" r:id="rId225" display="maricac.barragan.c@gmail.com" xr:uid="{F2DE9D6F-03BD-487A-B9BE-67C9B31C93E8}"/>
    <hyperlink ref="I312" r:id="rId226" display="tkd.john.amaya@hotmail.com" xr:uid="{7C3D4C90-F81F-451D-A373-87220975AD85}"/>
    <hyperlink ref="I313" r:id="rId227" display="orjuelaluis28@gmail.com" xr:uid="{601A2CC4-0CE6-4914-A330-68DB1C0D04D4}"/>
    <hyperlink ref="I316" r:id="rId228" display="manuel_martinez_e@hotmail.com" xr:uid="{6F4AB81E-D373-4D4E-A7E3-2B2FEB694592}"/>
    <hyperlink ref="I325" r:id="rId229" display="leidyabogada25@gmail.com" xr:uid="{BAD795AB-B469-479C-8AC1-1E41D71F36B5}"/>
    <hyperlink ref="I324" r:id="rId230" display="andresnieto073@gmail.com" xr:uid="{87F2C9E0-CB45-46DC-956E-AFEA946904F0}"/>
    <hyperlink ref="I331" r:id="rId231" display="pcastronm@gmail.com" xr:uid="{255A680F-88C7-4EB6-8F84-1ABCB3349AA5}"/>
    <hyperlink ref="I332" r:id="rId232" display="nelpio12@hotmail.com" xr:uid="{994572FC-17A2-47F1-BFDA-19D5826D837A}"/>
    <hyperlink ref="I333" r:id="rId233" display="mdcomercioexterior1559@gmail.com" xr:uid="{7F1A3999-974B-480C-8917-FEF1CE08B071}"/>
    <hyperlink ref="I334" r:id="rId234" display="ternera.daniela@javeriana.edu.co" xr:uid="{DB906249-54E7-4A64-83DE-F05FF479AE80}"/>
    <hyperlink ref="I335" r:id="rId235" display="taticatarazona88@gmail.com" xr:uid="{3443B8A8-EAF4-4A09-A306-1B164B8E04D5}"/>
    <hyperlink ref="I302" r:id="rId236" display="clamagarzon@hotmail.com" xr:uid="{2A82B062-6620-441F-BF3A-DD6FC93C78D1}"/>
    <hyperlink ref="I354" r:id="rId237" display="rafaelve.197409@gmail.com" xr:uid="{62212E12-4FF2-41B3-B8E7-FBB6F5DD9F07}"/>
    <hyperlink ref="I303" r:id="rId238" display="andresfelipemontealegre98@gmail.com" xr:uid="{A48EFCE5-E51A-4CE5-8B08-8EA507D33E2C}"/>
    <hyperlink ref="I310" r:id="rId239" display="alq1523@hotmail.com" xr:uid="{F55C3C26-4DF9-46C9-A69F-C906DB3D9FEF}"/>
    <hyperlink ref="I311" r:id="rId240" display="ingmauriciodiazrubio@gmail.com" xr:uid="{B89D85CC-E00E-4AA9-9E65-8EDDBF25B7E7}"/>
    <hyperlink ref="I314" r:id="rId241" display="paola.rc022@gmail.com" xr:uid="{2F572A56-EBE8-4B73-8D55-6B7E3E113BEB}"/>
    <hyperlink ref="I322" r:id="rId242" display="inpaleve94@gmail.com" xr:uid="{8E107A6E-5317-405C-8FCA-5340D109C5B3}"/>
    <hyperlink ref="I320" r:id="rId243" display="omaet.fer11@gmail.com" xr:uid="{79F1604F-5CA0-45D9-BFDF-E2BB86DF3CDB}"/>
    <hyperlink ref="I343" r:id="rId244" xr:uid="{7329842C-E657-4E08-B53D-1D1A8083967B}"/>
    <hyperlink ref="I353" r:id="rId245" display="maria.cruze@usantotomas.edu.co" xr:uid="{BB1026BB-D0FB-4C7C-840F-B4EA6F1A2A51}"/>
    <hyperlink ref="I305" r:id="rId246" display="camilin08@gmail.com" xr:uid="{F8A987BB-5D8E-4396-B14D-0C89F65E6026}"/>
    <hyperlink ref="I306" r:id="rId247" display="wilmori65@gmail.com" xr:uid="{FC846DB8-7C64-4DAB-B30D-B9B3D39E0949}"/>
    <hyperlink ref="I309" r:id="rId248" display="giovanni.cortesg@hotmail.com" xr:uid="{0BD494B8-958D-42E9-B698-7A57C1572910}"/>
    <hyperlink ref="I315" r:id="rId249" display="acevedocajamarca63@gmail.com" xr:uid="{B0624467-1312-4BB6-A600-48EECF3A86FB}"/>
    <hyperlink ref="I317" r:id="rId250" display="ncifuentesmorales3@gmail.com" xr:uid="{32382DBC-2A12-4C66-B9A2-5A56595AFE80}"/>
    <hyperlink ref="I318" r:id="rId251" display="david-21042011@hotmail.com" xr:uid="{FBAE0122-1525-44B0-A796-76B18B4CF8A8}"/>
    <hyperlink ref="I319" r:id="rId252" display="edigon1107@hotmail.com" xr:uid="{58FC9A64-ACB0-47C5-A619-4705DA4CD1FA}"/>
    <hyperlink ref="I323" r:id="rId253" display="dianavelandia.2018@gmail.com" xr:uid="{B30D7564-D525-4E72-BB15-5A5ADACDBA1A}"/>
    <hyperlink ref="I326" r:id="rId254" display="tebanpiramanrique@gmail.com" xr:uid="{999843C8-7DC6-4704-B1FB-EB6B7C30A85D}"/>
    <hyperlink ref="I327" r:id="rId255" display="diegopu1917@gmail.com" xr:uid="{8082894B-FFF2-4DE7-B4AD-D087421267BB}"/>
    <hyperlink ref="I328" r:id="rId256" display="jasarehm99@hotmail.com" xr:uid="{9CD96068-7B17-4120-BCEC-C0663880B28D}"/>
    <hyperlink ref="I329" r:id="rId257" display="damaya0427@yahoo.com" xr:uid="{CB1D87B6-9799-449A-AF1C-6A0E131EFBDB}"/>
    <hyperlink ref="I330" r:id="rId258" display="victorgalindo86@hotmail.com" xr:uid="{68859137-16D0-4B1C-B857-863E504CF8A7}"/>
    <hyperlink ref="I336" r:id="rId259" display="perezheliodoro@hotmail.com" xr:uid="{5E12BD5C-5FF8-4621-915E-67E3FFCCF201}"/>
    <hyperlink ref="I340" r:id="rId260" display="andre17921@hotmail.com" xr:uid="{707D6E11-8AA1-4502-86CF-E16716A4E0B5}"/>
    <hyperlink ref="I341" r:id="rId261" display="vale_durandiaz98@hotmail.com" xr:uid="{2DB2DE36-6BF5-461A-A126-CD819039DED0}"/>
    <hyperlink ref="I359" r:id="rId262" display="linab.tarazona@gmail.com" xr:uid="{544D9C67-604A-43CA-B1CE-60BDF84CDA53}"/>
    <hyperlink ref="I365" r:id="rId263" display="sualil@hotmail.com" xr:uid="{135C9C50-FB98-4CD4-8A97-5186885379DC}"/>
    <hyperlink ref="I344" r:id="rId264" display="alfonsolaverdenivia@gmail.com" xr:uid="{B78AFEEE-306F-481F-B7EE-6027530B4009}"/>
    <hyperlink ref="I345" r:id="rId265" display="guzm4n.bri4n@gmail.com" xr:uid="{462310D5-B90A-4601-A449-6F55298EB53F}"/>
    <hyperlink ref="I346" r:id="rId266" display="jlbeltranc@gmail.com" xr:uid="{1F793F57-F71D-43BF-87C3-71E0A655BFDA}"/>
    <hyperlink ref="I347" r:id="rId267" display="jhongomez4325@gmail.com" xr:uid="{7039ADEC-6FCD-4326-8B03-D56166E16F0C}"/>
    <hyperlink ref="I348" r:id="rId268" display="reycamilo.98@hotmail.com" xr:uid="{CB7862B8-3372-4669-B3F1-5CB37A3E4338}"/>
    <hyperlink ref="I349" r:id="rId269" display="jheisonleon07@homail.com" xr:uid="{5BF8F760-6BC1-4ADE-B1D4-8ACB9743D8E1}"/>
    <hyperlink ref="I350" r:id="rId270" display="andrea040810@gmail.com" xr:uid="{E798146E-4954-4709-8C60-499A37E98E82}"/>
    <hyperlink ref="I351" r:id="rId271" display="noheve66@gmail.com" xr:uid="{AE262CDA-3CBF-4DF2-A2D4-30CB2B2E73CE}"/>
    <hyperlink ref="I352" r:id="rId272" display="davi100581@gmail.com" xr:uid="{EE7C20D1-3620-49B7-97DE-DB7267294F66}"/>
    <hyperlink ref="I355" r:id="rId273" display="lg5vasquez@hotmail.com" xr:uid="{F14DC848-2DF5-4419-A466-549030B7B174}"/>
    <hyperlink ref="I356" r:id="rId274" display="paolaandreaperezreina@gmail.com" xr:uid="{1898B076-02F3-4E54-9FD0-930805B57D08}"/>
    <hyperlink ref="I357" r:id="rId275" display="jenniferdanielacamposrozo@gmail.com" xr:uid="{75C03E45-12A8-41C3-99AE-AA091683F78E}"/>
    <hyperlink ref="I358" r:id="rId276" display="wendyjo0101@gmail.com" xr:uid="{C34EA978-5118-43E6-A852-BF8FAE3AEC96}"/>
    <hyperlink ref="I360" r:id="rId277" display="jeesica_martinez24@hotmail.com" xr:uid="{427E57D7-AC32-4390-B4D1-65DF2CFADD29}"/>
    <hyperlink ref="I362" r:id="rId278" display="manoloramos30@hotmail.com" xr:uid="{2C0700C0-1918-4F88-B8FF-036077C9EA87}"/>
    <hyperlink ref="I363" r:id="rId279" display="aucar0321@gmail.com" xr:uid="{91494D57-E32B-40CB-9FAE-21E135C1A473}"/>
    <hyperlink ref="I364" r:id="rId280" display="cesar1071@yahoo.com" xr:uid="{62A1FF97-9EBC-4C06-869E-AD385A0B5710}"/>
    <hyperlink ref="I366" r:id="rId281" display="levys.paez@gmail.com" xr:uid="{3AA73BB9-8ED3-4CCF-95CF-E9EDDCA4A854}"/>
    <hyperlink ref="I368" r:id="rId282" display="estfenayserna322@gmail.com" xr:uid="{7C55F8D5-1D65-4999-9DAE-05CD60C9646E}"/>
    <hyperlink ref="I369" r:id="rId283" display="david.031671@gmail.com" xr:uid="{BCF8AB43-C971-4DC5-AC7C-EF948CAD5FB0}"/>
    <hyperlink ref="I370" r:id="rId284" display="nancymunevar98@gmail.co" xr:uid="{58814CCE-3923-4B40-9DB3-C5F59A4F949C}"/>
    <hyperlink ref="I371" r:id="rId285" display="cdgonzalezfabian06@gmail.com" xr:uid="{798C2700-50A0-4C80-ABBA-FE47FB4914DF}"/>
    <hyperlink ref="I372" r:id="rId286" display="adrianakmunara@gmail.com" xr:uid="{8B90E20E-E891-4012-8E5F-EB2E73584E77}"/>
    <hyperlink ref="I373" r:id="rId287" display="sdcb96@hotmail.com" xr:uid="{AC2CF1A8-8278-412E-AD9E-85426898B3DD}"/>
    <hyperlink ref="I374" r:id="rId288" display="angelamariadazniampira@gmail.com" xr:uid="{0DFA21BB-F4B5-41E6-9817-D14F1984F183}"/>
    <hyperlink ref="I375" r:id="rId289" display="rojasrene7@hotmail.com" xr:uid="{E62FA2D2-5A50-42CA-A8B9-563407E70BF2}"/>
    <hyperlink ref="I376" r:id="rId290" display="olgacortes@hotmail.es" xr:uid="{D2B0BC76-068E-4C36-B9BA-0DA199B542FD}"/>
    <hyperlink ref="I377" r:id="rId291" display="alejandroalarcon1497@gmail.com" xr:uid="{8F0752CB-7A72-4830-8364-0545FC95772F}"/>
    <hyperlink ref="I378" r:id="rId292" display="https://community.secop.gov.co/Public/Tendering/OpportunityDetail/Index?noticeUID=CO1.NTC.3843041&amp;isFromPublicArea=True&amp;isModal=False" xr:uid="{C15798E1-DB96-45F0-BC2F-AD40C4AFE652}"/>
    <hyperlink ref="I16" r:id="rId293" xr:uid="{05736893-3366-4B81-A6D8-86D5EE824F0C}"/>
    <hyperlink ref="I17" r:id="rId294" xr:uid="{14387A9F-6E15-4D4A-A24C-1C4FC81AC7B7}"/>
    <hyperlink ref="I27" r:id="rId295" xr:uid="{C10A09D9-053C-42FD-B5D3-00BA8DC05063}"/>
    <hyperlink ref="I15" r:id="rId296" xr:uid="{FE9F3663-7F4B-4848-BB52-2D00A09BC542}"/>
    <hyperlink ref="I75" r:id="rId297" xr:uid="{AB9B9311-A289-416B-A967-C1577222FB86}"/>
    <hyperlink ref="I380" r:id="rId298" xr:uid="{13BE2931-19CA-43DB-8E55-F4989C347D0E}"/>
    <hyperlink ref="I381" r:id="rId299" xr:uid="{95475B06-36D7-4212-9B68-45B82D7AEF15}"/>
    <hyperlink ref="I382" r:id="rId300" xr:uid="{1FBB54D1-751B-4E12-A65A-E4829ED765B3}"/>
    <hyperlink ref="I383" r:id="rId301" xr:uid="{232CF585-EB4A-4062-9B62-8F4B4A53EF54}"/>
    <hyperlink ref="I384" r:id="rId302" xr:uid="{17B1570C-766B-4F9D-8FD4-34D6C77A99B6}"/>
    <hyperlink ref="I385" r:id="rId303" xr:uid="{6D12838B-489C-4A51-B134-18515B5F490D}"/>
    <hyperlink ref="I396" r:id="rId304" xr:uid="{BCF724B8-BDFA-496A-971F-F3385A31E4A4}"/>
    <hyperlink ref="I386" r:id="rId305" xr:uid="{9C04FDF3-80C0-4CC3-82D9-BA6AA9D47AE5}"/>
  </hyperlinks>
  <pageMargins left="0.7" right="0.7" top="0.75" bottom="0.75" header="0.3" footer="0.3"/>
  <pageSetup orientation="portrait" r:id="rId306"/>
  <legacyDrawing r:id="rId3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contratación 2023 FDLF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Stephanie Estrada Vera</dc:creator>
  <cp:keywords/>
  <dc:description/>
  <cp:lastModifiedBy>Diana Cardenas</cp:lastModifiedBy>
  <cp:revision/>
  <dcterms:created xsi:type="dcterms:W3CDTF">2022-12-20T21:08:21Z</dcterms:created>
  <dcterms:modified xsi:type="dcterms:W3CDTF">2023-11-17T00:59:25Z</dcterms:modified>
  <cp:category/>
  <cp:contentStatus/>
</cp:coreProperties>
</file>